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activeTab="7"/>
  </bookViews>
  <sheets>
    <sheet name="Income statement" sheetId="1" r:id="rId1"/>
    <sheet name="BS12.09" sheetId="2" state="hidden" r:id="rId2"/>
    <sheet name="balance sheet" sheetId="3" r:id="rId3"/>
    <sheet name="equity statement" sheetId="4" r:id="rId4"/>
    <sheet name="detail cashflow statem" sheetId="5" state="hidden" r:id="rId5"/>
    <sheet name="key info" sheetId="6" state="hidden" r:id="rId6"/>
    <sheet name="CF12.09" sheetId="7" state="hidden" r:id="rId7"/>
    <sheet name="cashflow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'cashflow'!$G$14:$G$16</definedName>
    <definedName name="_xlnm.Print_Area" localSheetId="7">'cashflow'!$B$1:$K$78</definedName>
    <definedName name="_xlnm.Print_Area" localSheetId="3">'equity statement'!$A$1:$J$37</definedName>
    <definedName name="_xlnm.Print_Area" localSheetId="0">'Income statement'!$A$1:$S$66</definedName>
  </definedNames>
  <calcPr fullCalcOnLoad="1"/>
</workbook>
</file>

<file path=xl/sharedStrings.xml><?xml version="1.0" encoding="utf-8"?>
<sst xmlns="http://schemas.openxmlformats.org/spreadsheetml/2006/main" count="443" uniqueCount="280">
  <si>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</si>
  <si>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</si>
  <si>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</si>
  <si>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</si>
  <si>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</si>
  <si>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</si>
  <si>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</si>
  <si>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</si>
  <si>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</si>
  <si>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</si>
  <si>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</si>
  <si>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</si>
  <si>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</si>
  <si>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</si>
  <si>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</si>
  <si>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</si>
  <si>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</si>
  <si>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</si>
  <si>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</si>
  <si>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</si>
  <si>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</si>
  <si>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</si>
  <si>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</si>
  <si>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</si>
  <si>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</si>
  <si>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</si>
  <si>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</si>
  <si>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</si>
  <si>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</si>
  <si>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</si>
  <si>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</si>
  <si>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</si>
  <si>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</si>
  <si>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</si>
  <si>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</si>
  <si>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</si>
  <si>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</si>
  <si>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</si>
  <si>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</si>
  <si>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</si>
  <si>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</si>
  <si>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</si>
  <si>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</si>
  <si>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</si>
  <si>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</si>
  <si>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</si>
  <si>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</si>
  <si>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</si>
  <si>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</si>
  <si>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</si>
  <si>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</si>
  <si>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</si>
  <si>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</si>
  <si>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</si>
  <si>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</si>
  <si>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</si>
  <si>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</si>
  <si>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</si>
  <si>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</si>
  <si>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</si>
  <si>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</si>
  <si>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</si>
  <si>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</si>
  <si>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</si>
  <si>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</si>
  <si>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</si>
  <si>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</si>
  <si>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</si>
  <si>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</si>
  <si>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</si>
  <si>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</si>
  <si>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</si>
  <si>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</si>
  <si>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</si>
  <si>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</si>
  <si>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</si>
  <si>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</si>
  <si>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</si>
  <si>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</si>
  <si>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</si>
  <si>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</si>
  <si>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</si>
  <si>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</si>
  <si>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</si>
  <si>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</si>
  <si>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</si>
  <si>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</si>
  <si>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</si>
  <si>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</si>
  <si>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</si>
  <si>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</si>
  <si>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</si>
  <si>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</si>
  <si>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</si>
  <si>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</si>
  <si>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</si>
  <si>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</si>
  <si>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</si>
  <si>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</si>
  <si>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</si>
  <si>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</si>
  <si>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</si>
  <si>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</si>
  <si>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</si>
  <si>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</si>
  <si>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</si>
  <si>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</si>
  <si>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</si>
  <si>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</si>
  <si>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</si>
  <si>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</si>
  <si>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</si>
  <si>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</si>
  <si>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Trade receivables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</si>
  <si>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</si>
  <si>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</si>
  <si>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</si>
  <si>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</si>
  <si>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</si>
  <si>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</si>
  <si>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</si>
  <si>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</si>
  <si>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</si>
  <si>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</si>
  <si>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</si>
  <si>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</si>
  <si>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</si>
  <si>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Profit  before taxation</t>
  </si>
  <si>
    <t>Profit after tax for the period</t>
  </si>
  <si>
    <t>Net  Assets Per Share Attributable to ordinary equity holders of the Company (RM)</t>
  </si>
  <si>
    <t xml:space="preserve">The net assets per share attributed to ordinary equity holders of the Company  is calculated based on the net assets 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</si>
  <si>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</si>
  <si>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</si>
  <si>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</si>
  <si>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</si>
  <si>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</si>
  <si>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</si>
  <si>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</si>
  <si>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</si>
  <si>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>30 September 2009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</si>
  <si>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</si>
  <si>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</si>
  <si>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</si>
  <si>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</si>
  <si>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</si>
  <si>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</si>
  <si>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</si>
  <si>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</si>
  <si>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</si>
  <si>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</si>
  <si>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</si>
  <si>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</si>
  <si>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</si>
  <si>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</si>
  <si>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</si>
  <si>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</si>
  <si>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</si>
  <si>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</si>
  <si>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</si>
  <si>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</si>
  <si>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</si>
  <si>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</si>
  <si>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</si>
  <si>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</si>
  <si>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</si>
  <si>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</si>
  <si>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</si>
  <si>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</si>
  <si>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</si>
  <si>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</si>
  <si>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</si>
  <si>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</si>
  <si>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</si>
  <si>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</si>
  <si>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</si>
  <si>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</si>
  <si>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</si>
  <si>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</si>
  <si>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</si>
  <si>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</si>
  <si>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</si>
  <si>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</si>
  <si>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</si>
  <si>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</si>
  <si>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</si>
  <si>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</si>
  <si>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</si>
  <si>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</si>
  <si>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</si>
  <si>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</si>
  <si>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</si>
  <si>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</si>
  <si>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</si>
  <si>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</si>
  <si>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</si>
  <si>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</si>
  <si>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</si>
  <si>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</si>
  <si>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</si>
  <si>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</si>
  <si>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</si>
  <si>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</si>
  <si>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</si>
  <si>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</si>
  <si>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</si>
  <si>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</si>
  <si>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</si>
  <si>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</si>
  <si>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</si>
  <si>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</si>
  <si>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</si>
  <si>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</si>
  <si>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</si>
  <si>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</si>
  <si>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</si>
  <si>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</si>
  <si>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</si>
  <si>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</si>
  <si>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</si>
  <si>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</si>
  <si>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</si>
  <si>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</si>
  <si>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</si>
  <si>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The Condensed Consolidated  Statement of Cashflow should be read in conjunction with the audited financial</t>
  </si>
  <si>
    <t>Equity holders of the parent</t>
  </si>
  <si>
    <t>Non-controlling Interest</t>
  </si>
  <si>
    <t>Preceding Year Corresponding Period</t>
  </si>
  <si>
    <t>Preceding Year Corresponding Quarter</t>
  </si>
  <si>
    <t>Net increase/(decrease) in bills payable</t>
  </si>
  <si>
    <t>(Repayment)/Draw down of Term Loan</t>
  </si>
  <si>
    <t>Cumulative Year To Date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</si>
  <si>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</si>
  <si>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</si>
  <si>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</si>
  <si>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</si>
  <si>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Total comprehensive income for the year</t>
  </si>
  <si>
    <t>(Decrease)/Increase in amount due to customers for contract works</t>
  </si>
  <si>
    <t>Decrease/(Increase) in trade receivables</t>
  </si>
  <si>
    <t>(Decrease)/Increase  in trade payables</t>
  </si>
  <si>
    <t>(Decrease)/Increase in other payables and accruals</t>
  </si>
  <si>
    <t>divided  by the number of ordinary shares in issue as at Balance Sheet date.</t>
  </si>
  <si>
    <t>31 March 2012</t>
  </si>
  <si>
    <t>31 March 2011</t>
  </si>
  <si>
    <t>Intangible asset</t>
  </si>
  <si>
    <t>Amount due by customers for contract works</t>
  </si>
  <si>
    <t>Financial assets held for trading</t>
  </si>
  <si>
    <t>Fixed deposits with licensed banks</t>
  </si>
  <si>
    <t>Warrant Reserve</t>
  </si>
  <si>
    <t>Short term investment and fixed deposits with licensed banks</t>
  </si>
  <si>
    <t>30 June 2011</t>
  </si>
  <si>
    <t>Treasury shares</t>
  </si>
  <si>
    <t>30 September 2012</t>
  </si>
  <si>
    <t>30 September 2011</t>
  </si>
  <si>
    <t>30 June 2012</t>
  </si>
  <si>
    <t>Treasury Shares</t>
  </si>
  <si>
    <t>Dividend paid</t>
  </si>
  <si>
    <t>Purchase of Treasury Shares</t>
  </si>
  <si>
    <t>Deferred Tax Asset</t>
  </si>
  <si>
    <t>Profit/(loss)  before taxation</t>
  </si>
  <si>
    <t>Profit /(loss)after tax for the period</t>
  </si>
  <si>
    <t>Profit/(loss) attributable to:</t>
  </si>
  <si>
    <t>31 March 2013</t>
  </si>
  <si>
    <t>FOR THE FIRST QUARTER ENDED 31 MARCH 2013</t>
  </si>
  <si>
    <t>AS AT 31 MARCH 2013</t>
  </si>
  <si>
    <t>31 December 2012</t>
  </si>
  <si>
    <t xml:space="preserve"> for the financial year ended 31 December 2012 and the accompanying notes attached to this interim financial report.</t>
  </si>
  <si>
    <t>statements for the financial year ended 31 December 2012 and the accompanying notes attached to this interim financial report.</t>
  </si>
  <si>
    <t>Balance as at 1 Jan 2013(restated)</t>
  </si>
  <si>
    <t>Shares repurchased</t>
  </si>
  <si>
    <t>FOR THE FINANCIAL YEAR ENDED 31 MARCH 2013</t>
  </si>
  <si>
    <t>Period Ended                             31 March 2013</t>
  </si>
  <si>
    <t>Preceding year Corresponding                Period                                         31 March 2012</t>
  </si>
  <si>
    <t>Interest received</t>
  </si>
  <si>
    <t>Currency translation difference</t>
  </si>
  <si>
    <t>Tax recoverable</t>
  </si>
  <si>
    <t>Investment in a jointly controlled entity</t>
  </si>
  <si>
    <t>Balance as at 31 March 2013</t>
  </si>
  <si>
    <t>have been restated to RM15,987 thousand.</t>
  </si>
  <si>
    <t xml:space="preserve">Due to the audit adjustments on dividend declared but not paid during FYE2012, the Retained Profits for 4th Quarter 2012 announcement of RM17,587 thousand </t>
  </si>
  <si>
    <t>Total comprehensive income/(loss) for the period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</si>
</sst>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\ ???/???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#,##0.000"/>
    <numFmt numFmtId="175" formatCode="0_);\(0\)"/>
    <numFmt numFmtId="176" formatCode="00000"/>
    <numFmt numFmtId="177" formatCode="0.0"/>
    <numFmt numFmtId="178" formatCode="0.E+00"/>
    <numFmt numFmtId="179" formatCode="000\-00\-0000"/>
    <numFmt numFmtId="180" formatCode="_(* #,##0.0_);_(* \(#,##0.0\);_(* &quot;-&quot;_);_(@_)"/>
    <numFmt numFmtId="181" formatCode="_(* #,##0.00_);_(* \(#,##0.00\);_(* &quot;-&quot;_);_(@_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00_);\(#,##0.000000\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00_);_(* \(#,##0.0000000\);_(* &quot;-&quot;_);_(@_)"/>
    <numFmt numFmtId="196" formatCode="_(* #,##0.00000000_);_(* \(#,##0.00000000\);_(* &quot;-&quot;_);_(@_)"/>
    <numFmt numFmtId="197" formatCode="_(* #,##0.000000000_);_(* \(#,##0.000000000\);_(* &quot;-&quot;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ddd\,\ mmmm\ dd\,\ yyyy"/>
    <numFmt numFmtId="203" formatCode="[$-409]d/mmm/yyyy;@"/>
    <numFmt numFmtId="204" formatCode="[$-409]h:mm:ss\ AM/PM"/>
    <numFmt numFmtId="205" formatCode="#,##0;[Red]#,##0"/>
  </numFmts>
  <fonts count="8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2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72" fontId="5" fillId="0" borderId="0" xfId="42" applyNumberFormat="1" applyFont="1" applyAlignment="1">
      <alignment horizontal="right" vertical="top" wrapText="1"/>
    </xf>
    <xf numFmtId="172" fontId="5" fillId="0" borderId="10" xfId="42" applyNumberFormat="1" applyFont="1" applyBorder="1" applyAlignment="1">
      <alignment horizontal="right" vertical="top" wrapText="1"/>
    </xf>
    <xf numFmtId="172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72" fontId="5" fillId="0" borderId="10" xfId="42" applyNumberFormat="1" applyFont="1" applyBorder="1" applyAlignment="1">
      <alignment vertical="top" wrapText="1"/>
    </xf>
    <xf numFmtId="172" fontId="5" fillId="0" borderId="12" xfId="42" applyNumberFormat="1" applyFont="1" applyBorder="1" applyAlignment="1">
      <alignment horizontal="right" vertical="top" wrapText="1"/>
    </xf>
    <xf numFmtId="172" fontId="5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 horizontal="right" vertical="top" wrapText="1"/>
    </xf>
    <xf numFmtId="172" fontId="0" fillId="0" borderId="10" xfId="42" applyNumberFormat="1" applyFont="1" applyBorder="1" applyAlignment="1">
      <alignment horizontal="right" vertical="top" wrapText="1"/>
    </xf>
    <xf numFmtId="172" fontId="0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 horizontal="right" vertical="top" wrapText="1"/>
    </xf>
    <xf numFmtId="172" fontId="5" fillId="0" borderId="13" xfId="42" applyNumberFormat="1" applyFont="1" applyBorder="1" applyAlignment="1">
      <alignment horizontal="right" vertical="top" wrapText="1"/>
    </xf>
    <xf numFmtId="172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horizontal="justify" vertical="top" wrapText="1"/>
    </xf>
    <xf numFmtId="0" fontId="71" fillId="0" borderId="0" xfId="0" applyFont="1" applyAlignment="1">
      <alignment horizontal="left" vertical="top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72" fontId="0" fillId="0" borderId="14" xfId="0" applyNumberFormat="1" applyFont="1" applyBorder="1" applyAlignment="1">
      <alignment/>
    </xf>
    <xf numFmtId="0" fontId="73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72" fontId="4" fillId="0" borderId="0" xfId="42" applyNumberFormat="1" applyFont="1" applyAlignment="1">
      <alignment horizontal="right" vertical="top" wrapText="1"/>
    </xf>
    <xf numFmtId="172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2" fontId="5" fillId="0" borderId="0" xfId="42" applyNumberFormat="1" applyFont="1" applyAlignment="1">
      <alignment horizontal="center" vertical="center"/>
    </xf>
    <xf numFmtId="172" fontId="4" fillId="0" borderId="14" xfId="42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2" fontId="5" fillId="0" borderId="0" xfId="42" applyNumberFormat="1" applyFont="1" applyAlignment="1">
      <alignment/>
    </xf>
    <xf numFmtId="172" fontId="5" fillId="0" borderId="0" xfId="0" applyNumberFormat="1" applyFont="1" applyAlignment="1">
      <alignment/>
    </xf>
    <xf numFmtId="0" fontId="75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72" fontId="4" fillId="0" borderId="0" xfId="42" applyNumberFormat="1" applyFont="1" applyAlignment="1">
      <alignment horizontal="center" vertical="center"/>
    </xf>
    <xf numFmtId="172" fontId="4" fillId="0" borderId="12" xfId="42" applyNumberFormat="1" applyFont="1" applyBorder="1" applyAlignment="1">
      <alignment horizontal="right" vertical="top" wrapText="1"/>
    </xf>
    <xf numFmtId="172" fontId="4" fillId="0" borderId="0" xfId="42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/>
    </xf>
    <xf numFmtId="37" fontId="14" fillId="0" borderId="15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172" fontId="6" fillId="34" borderId="0" xfId="42" applyNumberFormat="1" applyFont="1" applyFill="1" applyAlignment="1">
      <alignment/>
    </xf>
    <xf numFmtId="172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2" fontId="5" fillId="0" borderId="10" xfId="42" applyNumberFormat="1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172" fontId="5" fillId="0" borderId="0" xfId="42" applyNumberFormat="1" applyFont="1" applyAlignment="1" quotePrefix="1">
      <alignment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9" fontId="5" fillId="0" borderId="0" xfId="61" applyFont="1" applyAlignment="1">
      <alignment/>
    </xf>
    <xf numFmtId="0" fontId="52" fillId="0" borderId="0" xfId="57">
      <alignment/>
      <protection/>
    </xf>
    <xf numFmtId="0" fontId="79" fillId="0" borderId="0" xfId="57" applyFont="1">
      <alignment/>
      <protection/>
    </xf>
    <xf numFmtId="0" fontId="79" fillId="0" borderId="0" xfId="57" applyFont="1" applyAlignment="1">
      <alignment horizontal="right" vertical="top" wrapText="1"/>
      <protection/>
    </xf>
    <xf numFmtId="0" fontId="77" fillId="0" borderId="0" xfId="57" applyFont="1" applyAlignment="1">
      <alignment horizontal="right" vertical="top" wrapText="1"/>
      <protection/>
    </xf>
    <xf numFmtId="0" fontId="80" fillId="0" borderId="0" xfId="57" applyFont="1" applyAlignment="1">
      <alignment wrapText="1"/>
      <protection/>
    </xf>
    <xf numFmtId="0" fontId="77" fillId="0" borderId="0" xfId="57" applyFont="1">
      <alignment/>
      <protection/>
    </xf>
    <xf numFmtId="0" fontId="79" fillId="0" borderId="0" xfId="57" applyFont="1" applyAlignment="1">
      <alignment vertical="top" wrapText="1"/>
      <protection/>
    </xf>
    <xf numFmtId="0" fontId="77" fillId="0" borderId="0" xfId="57" applyFont="1" applyAlignment="1">
      <alignment vertical="top" wrapText="1"/>
      <protection/>
    </xf>
    <xf numFmtId="3" fontId="77" fillId="0" borderId="0" xfId="57" applyNumberFormat="1" applyFont="1" applyAlignment="1">
      <alignment horizontal="right" vertical="top" wrapText="1"/>
      <protection/>
    </xf>
    <xf numFmtId="3" fontId="77" fillId="0" borderId="10" xfId="57" applyNumberFormat="1" applyFont="1" applyBorder="1" applyAlignment="1">
      <alignment horizontal="right" vertical="top" wrapText="1"/>
      <protection/>
    </xf>
    <xf numFmtId="3" fontId="77" fillId="0" borderId="12" xfId="57" applyNumberFormat="1" applyFont="1" applyBorder="1" applyAlignment="1">
      <alignment horizontal="right" vertical="top" wrapText="1"/>
      <protection/>
    </xf>
    <xf numFmtId="0" fontId="80" fillId="0" borderId="0" xfId="57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72" fontId="4" fillId="0" borderId="15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7" fontId="5" fillId="0" borderId="16" xfId="0" applyNumberFormat="1" applyFont="1" applyFill="1" applyBorder="1" applyAlignment="1">
      <alignment horizontal="right"/>
    </xf>
    <xf numFmtId="172" fontId="4" fillId="0" borderId="0" xfId="42" applyNumberFormat="1" applyFont="1" applyBorder="1" applyAlignment="1">
      <alignment vertical="top" wrapText="1"/>
    </xf>
    <xf numFmtId="172" fontId="5" fillId="0" borderId="0" xfId="42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72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37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37" fontId="5" fillId="0" borderId="14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37" fontId="14" fillId="0" borderId="10" xfId="0" applyNumberFormat="1" applyFont="1" applyFill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7" fontId="14" fillId="0" borderId="17" xfId="0" applyNumberFormat="1" applyFont="1" applyFill="1" applyBorder="1" applyAlignment="1">
      <alignment horizontal="right"/>
    </xf>
    <xf numFmtId="172" fontId="5" fillId="0" borderId="0" xfId="42" applyNumberFormat="1" applyFont="1" applyFill="1" applyAlignment="1">
      <alignment horizontal="center" vertical="center"/>
    </xf>
    <xf numFmtId="172" fontId="4" fillId="0" borderId="14" xfId="42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172" fontId="4" fillId="0" borderId="0" xfId="42" applyNumberFormat="1" applyFont="1" applyFill="1" applyAlignment="1">
      <alignment horizontal="center" vertical="center"/>
    </xf>
    <xf numFmtId="37" fontId="5" fillId="0" borderId="0" xfId="0" applyNumberFormat="1" applyFont="1" applyFill="1" applyAlignment="1">
      <alignment horizontal="right" vertical="top" wrapText="1"/>
    </xf>
    <xf numFmtId="41" fontId="14" fillId="0" borderId="10" xfId="0" applyNumberFormat="1" applyFont="1" applyBorder="1" applyAlignment="1">
      <alignment horizontal="right"/>
    </xf>
    <xf numFmtId="172" fontId="14" fillId="0" borderId="0" xfId="42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5" fillId="0" borderId="0" xfId="42" applyFont="1" applyFill="1" applyBorder="1" applyAlignment="1">
      <alignment horizontal="right"/>
    </xf>
    <xf numFmtId="3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58" applyFont="1" applyFill="1" applyAlignment="1">
      <alignment horizontal="left" vertical="top" wrapText="1"/>
      <protection/>
    </xf>
    <xf numFmtId="41" fontId="5" fillId="0" borderId="0" xfId="0" applyNumberFormat="1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35" borderId="11" xfId="0" applyFont="1" applyFill="1" applyBorder="1" applyAlignment="1">
      <alignment horizontal="center"/>
    </xf>
    <xf numFmtId="172" fontId="14" fillId="0" borderId="0" xfId="42" applyNumberFormat="1" applyFont="1" applyAlignment="1">
      <alignment/>
    </xf>
    <xf numFmtId="37" fontId="81" fillId="0" borderId="0" xfId="0" applyNumberFormat="1" applyFont="1" applyBorder="1" applyAlignment="1">
      <alignment horizontal="right"/>
    </xf>
    <xf numFmtId="37" fontId="81" fillId="0" borderId="0" xfId="0" applyNumberFormat="1" applyFont="1" applyAlignment="1">
      <alignment horizontal="right"/>
    </xf>
    <xf numFmtId="172" fontId="5" fillId="0" borderId="0" xfId="42" applyNumberFormat="1" applyFont="1" applyFill="1" applyAlignment="1">
      <alignment horizontal="right" vertical="top" wrapText="1"/>
    </xf>
    <xf numFmtId="172" fontId="5" fillId="0" borderId="11" xfId="42" applyNumberFormat="1" applyFont="1" applyFill="1" applyBorder="1" applyAlignment="1">
      <alignment horizontal="right" vertical="top" wrapText="1"/>
    </xf>
    <xf numFmtId="172" fontId="4" fillId="0" borderId="0" xfId="42" applyNumberFormat="1" applyFont="1" applyFill="1" applyAlignment="1">
      <alignment horizontal="right" vertical="top" wrapText="1"/>
    </xf>
    <xf numFmtId="172" fontId="5" fillId="0" borderId="1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horizontal="right" vertical="top" wrapText="1"/>
    </xf>
    <xf numFmtId="172" fontId="5" fillId="0" borderId="0" xfId="42" applyNumberFormat="1" applyFont="1" applyFill="1" applyAlignment="1">
      <alignment/>
    </xf>
    <xf numFmtId="172" fontId="5" fillId="0" borderId="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vertical="top" wrapText="1"/>
    </xf>
    <xf numFmtId="172" fontId="4" fillId="0" borderId="12" xfId="42" applyNumberFormat="1" applyFont="1" applyFill="1" applyBorder="1" applyAlignment="1">
      <alignment horizontal="right" vertical="top" wrapText="1"/>
    </xf>
    <xf numFmtId="172" fontId="5" fillId="0" borderId="10" xfId="42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cash_flo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3\Mar%202013\Group%20Consol%20Mar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1.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2)"/>
      <sheetName val="JV (2)"/>
      <sheetName val="sample work.GW"/>
      <sheetName val="9Dis or acq of subsi"/>
      <sheetName val="Amt due to contractors"/>
      <sheetName val="10Stmt of gain on disposal su"/>
      <sheetName val="MI Handrill"/>
      <sheetName val="MI HOEM"/>
    </sheetNames>
    <sheetDataSet>
      <sheetData sheetId="14">
        <row r="13">
          <cell r="W13">
            <v>19740.616523859215</v>
          </cell>
        </row>
        <row r="14">
          <cell r="W14">
            <v>-13707.639323140911</v>
          </cell>
        </row>
        <row r="17">
          <cell r="W17">
            <v>238.00785596289023</v>
          </cell>
        </row>
        <row r="19">
          <cell r="W19">
            <v>-4940.128114038001</v>
          </cell>
        </row>
        <row r="20">
          <cell r="W20">
            <v>-857.92543</v>
          </cell>
        </row>
        <row r="21">
          <cell r="W21">
            <v>-736.345500045625</v>
          </cell>
        </row>
        <row r="26">
          <cell r="W26">
            <v>-363.96709999999996</v>
          </cell>
        </row>
        <row r="29">
          <cell r="W29">
            <v>0</v>
          </cell>
        </row>
        <row r="31">
          <cell r="W31">
            <v>62.17243645200001</v>
          </cell>
        </row>
        <row r="70">
          <cell r="W70">
            <v>65230.18887747075</v>
          </cell>
        </row>
        <row r="72">
          <cell r="W72">
            <v>11958.567</v>
          </cell>
        </row>
        <row r="77">
          <cell r="W77">
            <v>709.6</v>
          </cell>
        </row>
        <row r="78">
          <cell r="W78">
            <v>373.969</v>
          </cell>
        </row>
        <row r="83">
          <cell r="W83">
            <v>9272.30748</v>
          </cell>
        </row>
        <row r="84">
          <cell r="W84">
            <v>14064.346199999998</v>
          </cell>
        </row>
        <row r="87">
          <cell r="W87">
            <v>3693.41858</v>
          </cell>
        </row>
        <row r="88">
          <cell r="W88">
            <v>1413.6265164395024</v>
          </cell>
        </row>
        <row r="91">
          <cell r="W91">
            <v>22068.021920814143</v>
          </cell>
        </row>
        <row r="93">
          <cell r="W93">
            <v>71.36019</v>
          </cell>
        </row>
        <row r="94">
          <cell r="W94">
            <v>553.52691</v>
          </cell>
        </row>
        <row r="95">
          <cell r="W95">
            <v>1.9746</v>
          </cell>
        </row>
        <row r="109">
          <cell r="W109">
            <v>1928.88656</v>
          </cell>
        </row>
        <row r="110">
          <cell r="W110">
            <v>5621.97917</v>
          </cell>
        </row>
        <row r="111">
          <cell r="W111">
            <v>15005.53156</v>
          </cell>
        </row>
        <row r="112">
          <cell r="W112">
            <v>4531.235723488761</v>
          </cell>
        </row>
        <row r="113">
          <cell r="W113">
            <v>5025.63804</v>
          </cell>
        </row>
        <row r="122">
          <cell r="W122">
            <v>79999.99999999999</v>
          </cell>
        </row>
        <row r="123">
          <cell r="W123">
            <v>-106.55544</v>
          </cell>
        </row>
        <row r="126">
          <cell r="W126">
            <v>15421.20542931541</v>
          </cell>
        </row>
        <row r="127">
          <cell r="W127">
            <v>2660.465</v>
          </cell>
        </row>
        <row r="129">
          <cell r="W129">
            <v>-48.66843645200001</v>
          </cell>
        </row>
        <row r="134">
          <cell r="W134">
            <v>181.473</v>
          </cell>
        </row>
        <row r="135">
          <cell r="W135">
            <v>30637.33697</v>
          </cell>
        </row>
        <row r="136">
          <cell r="W136">
            <v>1538</v>
          </cell>
        </row>
        <row r="142">
          <cell r="W142">
            <v>13350.885115329733</v>
          </cell>
        </row>
        <row r="143">
          <cell r="W143">
            <v>2264.74197</v>
          </cell>
        </row>
        <row r="144">
          <cell r="W144">
            <v>202.43300000000002</v>
          </cell>
        </row>
        <row r="153">
          <cell r="W153">
            <v>101.43590999999998</v>
          </cell>
        </row>
        <row r="154">
          <cell r="W154">
            <v>15279.85439</v>
          </cell>
        </row>
        <row r="155">
          <cell r="W155">
            <v>42.45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</sheetNames>
    <sheetDataSet>
      <sheetData sheetId="28">
        <row r="6">
          <cell r="C6">
            <v>-629.3520874024296</v>
          </cell>
        </row>
        <row r="18">
          <cell r="J18">
            <v>944.215780045625</v>
          </cell>
        </row>
        <row r="20">
          <cell r="C20">
            <v>-922</v>
          </cell>
        </row>
        <row r="21">
          <cell r="C21">
            <v>-3099</v>
          </cell>
        </row>
        <row r="22">
          <cell r="C22">
            <v>4013.4307091858577</v>
          </cell>
        </row>
        <row r="23">
          <cell r="C23">
            <v>3081</v>
          </cell>
        </row>
        <row r="24">
          <cell r="C24">
            <v>-203.24391467026612</v>
          </cell>
        </row>
        <row r="25">
          <cell r="C25">
            <v>0</v>
          </cell>
        </row>
        <row r="27">
          <cell r="C27">
            <v>-112.77533</v>
          </cell>
        </row>
        <row r="29">
          <cell r="C29">
            <v>-303.2985</v>
          </cell>
        </row>
        <row r="34">
          <cell r="C34">
            <v>6.66965</v>
          </cell>
        </row>
        <row r="35">
          <cell r="C35">
            <v>64.59501</v>
          </cell>
        </row>
        <row r="36">
          <cell r="C36">
            <v>41.47242</v>
          </cell>
        </row>
        <row r="37">
          <cell r="C37">
            <v>-149.10055999999895</v>
          </cell>
        </row>
        <row r="38">
          <cell r="C38">
            <v>-2769.4369300000003</v>
          </cell>
        </row>
        <row r="44">
          <cell r="C44">
            <v>-32.1853</v>
          </cell>
        </row>
        <row r="46">
          <cell r="C46">
            <v>-1598</v>
          </cell>
        </row>
        <row r="47">
          <cell r="C47">
            <v>-224.74499999999995</v>
          </cell>
        </row>
        <row r="49">
          <cell r="C49">
            <v>-676</v>
          </cell>
        </row>
        <row r="51">
          <cell r="C51">
            <v>-1442</v>
          </cell>
        </row>
        <row r="52">
          <cell r="C52">
            <v>-33</v>
          </cell>
        </row>
        <row r="57">
          <cell r="C57">
            <v>11027.686000000003</v>
          </cell>
        </row>
        <row r="58">
          <cell r="C58">
            <v>3.8051865112329324</v>
          </cell>
        </row>
        <row r="67">
          <cell r="C67">
            <v>-15006</v>
          </cell>
        </row>
      </sheetData>
      <sheetData sheetId="29">
        <row r="94">
          <cell r="AN94">
            <v>10648</v>
          </cell>
        </row>
        <row r="95">
          <cell r="AN95">
            <v>4531</v>
          </cell>
        </row>
        <row r="96">
          <cell r="AN96">
            <v>15006</v>
          </cell>
        </row>
        <row r="97">
          <cell r="AN97">
            <v>-8186.8543899999995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zoomScalePageLayoutView="0" workbookViewId="0" topLeftCell="A1">
      <pane xSplit="2" ySplit="14" topLeftCell="M3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40" sqref="B40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3.7109375" style="0" hidden="1" customWidth="1"/>
    <col min="4" max="4" width="19.8515625" style="0" hidden="1" customWidth="1"/>
    <col min="5" max="5" width="20.140625" style="0" hidden="1" customWidth="1"/>
    <col min="6" max="6" width="4.00390625" style="189" hidden="1" customWidth="1"/>
    <col min="7" max="8" width="20.140625" style="0" hidden="1" customWidth="1"/>
    <col min="9" max="9" width="3.140625" style="0" hidden="1" customWidth="1"/>
    <col min="10" max="10" width="21.8515625" style="0" hidden="1" customWidth="1"/>
    <col min="11" max="11" width="21.00390625" style="0" hidden="1" customWidth="1"/>
    <col min="12" max="12" width="3.421875" style="0" hidden="1" customWidth="1"/>
    <col min="13" max="14" width="21.00390625" style="0" customWidth="1"/>
    <col min="15" max="15" width="3.7109375" style="0" customWidth="1"/>
    <col min="16" max="17" width="22.140625" style="0" customWidth="1"/>
    <col min="18" max="18" width="4.140625" style="0" customWidth="1"/>
    <col min="19" max="19" width="16.57421875" style="0" customWidth="1"/>
    <col min="20" max="20" width="5.8515625" style="0" hidden="1" customWidth="1"/>
    <col min="21" max="21" width="5.7109375" style="0" hidden="1" customWidth="1"/>
    <col min="22" max="22" width="17.28125" style="0" hidden="1" customWidth="1"/>
    <col min="23" max="28" width="9.140625" style="0" hidden="1" customWidth="1"/>
  </cols>
  <sheetData>
    <row r="1" ht="20.25">
      <c r="B1" s="6" t="s">
        <v>122</v>
      </c>
    </row>
    <row r="2" ht="12.75">
      <c r="B2" s="2"/>
    </row>
    <row r="3" spans="2:6" s="51" customFormat="1" ht="15">
      <c r="B3" s="16" t="s">
        <v>216</v>
      </c>
      <c r="F3" s="190"/>
    </row>
    <row r="4" spans="2:18" s="51" customFormat="1" ht="15">
      <c r="B4" s="16" t="s">
        <v>262</v>
      </c>
      <c r="F4" s="190"/>
      <c r="R4" s="85"/>
    </row>
    <row r="5" spans="2:18" s="51" customFormat="1" ht="15">
      <c r="B5" s="86"/>
      <c r="F5" s="190"/>
      <c r="R5" s="85"/>
    </row>
    <row r="6" spans="2:18" s="51" customFormat="1" ht="21" thickBot="1">
      <c r="B6" s="16"/>
      <c r="F6" s="190"/>
      <c r="P6" s="122"/>
      <c r="Q6" s="178"/>
      <c r="R6" s="85"/>
    </row>
    <row r="7" spans="4:18" s="51" customFormat="1" ht="15.75" thickBot="1">
      <c r="D7" s="245" t="s">
        <v>85</v>
      </c>
      <c r="E7" s="246"/>
      <c r="F7" s="171"/>
      <c r="G7" s="245" t="s">
        <v>85</v>
      </c>
      <c r="H7" s="246"/>
      <c r="I7" s="171"/>
      <c r="J7" s="245" t="s">
        <v>85</v>
      </c>
      <c r="K7" s="246"/>
      <c r="L7" s="171"/>
      <c r="M7" s="245" t="s">
        <v>85</v>
      </c>
      <c r="N7" s="246"/>
      <c r="P7" s="245" t="s">
        <v>124</v>
      </c>
      <c r="Q7" s="246"/>
      <c r="R7" s="60"/>
    </row>
    <row r="8" spans="4:18" s="51" customFormat="1" ht="15.75" thickBot="1">
      <c r="D8" s="227"/>
      <c r="E8" s="227"/>
      <c r="F8" s="171"/>
      <c r="G8" s="227"/>
      <c r="H8" s="227"/>
      <c r="I8" s="171"/>
      <c r="J8" s="227"/>
      <c r="K8" s="227"/>
      <c r="L8" s="171"/>
      <c r="Q8" s="60"/>
      <c r="R8" s="60"/>
    </row>
    <row r="9" spans="3:18" s="51" customFormat="1" ht="12.75" customHeight="1">
      <c r="C9" s="55"/>
      <c r="D9" s="244" t="s">
        <v>138</v>
      </c>
      <c r="E9" s="244" t="s">
        <v>227</v>
      </c>
      <c r="F9" s="56"/>
      <c r="G9" s="244" t="s">
        <v>138</v>
      </c>
      <c r="H9" s="244" t="s">
        <v>227</v>
      </c>
      <c r="I9" s="56"/>
      <c r="J9" s="244" t="s">
        <v>138</v>
      </c>
      <c r="K9" s="244" t="s">
        <v>227</v>
      </c>
      <c r="L9" s="56"/>
      <c r="M9" s="242" t="s">
        <v>138</v>
      </c>
      <c r="N9" s="242" t="s">
        <v>227</v>
      </c>
      <c r="O9" s="55"/>
      <c r="P9" s="242" t="s">
        <v>230</v>
      </c>
      <c r="Q9" s="242" t="s">
        <v>226</v>
      </c>
      <c r="R9" s="60"/>
    </row>
    <row r="10" spans="3:18" s="51" customFormat="1" ht="15">
      <c r="C10" s="55"/>
      <c r="D10" s="242"/>
      <c r="E10" s="243"/>
      <c r="F10" s="190"/>
      <c r="G10" s="242"/>
      <c r="H10" s="243"/>
      <c r="J10" s="242"/>
      <c r="K10" s="243"/>
      <c r="M10" s="242"/>
      <c r="N10" s="243"/>
      <c r="O10" s="55"/>
      <c r="P10" s="242"/>
      <c r="Q10" s="243"/>
      <c r="R10" s="60"/>
    </row>
    <row r="11" spans="3:18" s="51" customFormat="1" ht="15">
      <c r="C11" s="55"/>
      <c r="D11" s="242"/>
      <c r="E11" s="243"/>
      <c r="F11" s="190"/>
      <c r="G11" s="242"/>
      <c r="H11" s="243"/>
      <c r="J11" s="242"/>
      <c r="K11" s="243"/>
      <c r="M11" s="242"/>
      <c r="N11" s="243"/>
      <c r="O11" s="55"/>
      <c r="P11" s="242"/>
      <c r="Q11" s="243"/>
      <c r="R11" s="60"/>
    </row>
    <row r="12" spans="3:18" s="51" customFormat="1" ht="31.5" customHeight="1">
      <c r="C12" s="55"/>
      <c r="D12" s="242"/>
      <c r="E12" s="243"/>
      <c r="F12" s="190"/>
      <c r="G12" s="242"/>
      <c r="H12" s="243"/>
      <c r="J12" s="242"/>
      <c r="K12" s="243"/>
      <c r="M12" s="242"/>
      <c r="N12" s="243"/>
      <c r="O12" s="55"/>
      <c r="P12" s="242"/>
      <c r="Q12" s="243"/>
      <c r="R12" s="60"/>
    </row>
    <row r="13" spans="3:22" s="51" customFormat="1" ht="15">
      <c r="C13" s="58"/>
      <c r="D13" s="57" t="s">
        <v>241</v>
      </c>
      <c r="E13" s="57" t="s">
        <v>242</v>
      </c>
      <c r="F13" s="217"/>
      <c r="G13" s="57" t="s">
        <v>253</v>
      </c>
      <c r="H13" s="57" t="s">
        <v>249</v>
      </c>
      <c r="I13" s="57"/>
      <c r="J13" s="57" t="s">
        <v>251</v>
      </c>
      <c r="K13" s="57" t="s">
        <v>252</v>
      </c>
      <c r="L13" s="57"/>
      <c r="M13" s="57" t="s">
        <v>261</v>
      </c>
      <c r="N13" s="57" t="s">
        <v>241</v>
      </c>
      <c r="O13" s="58"/>
      <c r="P13" s="57" t="s">
        <v>261</v>
      </c>
      <c r="Q13" s="57" t="s">
        <v>241</v>
      </c>
      <c r="R13" s="60"/>
      <c r="V13" s="128" t="s">
        <v>139</v>
      </c>
    </row>
    <row r="14" spans="3:22" s="51" customFormat="1" ht="15">
      <c r="C14" s="58"/>
      <c r="D14" s="58" t="s">
        <v>0</v>
      </c>
      <c r="E14" s="58" t="s">
        <v>0</v>
      </c>
      <c r="F14" s="218"/>
      <c r="G14" s="58" t="s">
        <v>0</v>
      </c>
      <c r="H14" s="58" t="s">
        <v>0</v>
      </c>
      <c r="I14" s="58"/>
      <c r="J14" s="58" t="s">
        <v>0</v>
      </c>
      <c r="K14" s="58" t="s">
        <v>0</v>
      </c>
      <c r="L14" s="58"/>
      <c r="M14" s="58" t="s">
        <v>0</v>
      </c>
      <c r="N14" s="58" t="s">
        <v>0</v>
      </c>
      <c r="O14" s="58"/>
      <c r="P14" s="58" t="s">
        <v>0</v>
      </c>
      <c r="Q14" s="58" t="s">
        <v>0</v>
      </c>
      <c r="R14" s="60"/>
      <c r="V14" s="102" t="s">
        <v>0</v>
      </c>
    </row>
    <row r="15" spans="3:22" s="51" customFormat="1" ht="15">
      <c r="C15" s="58"/>
      <c r="D15" s="58"/>
      <c r="E15" s="58"/>
      <c r="F15" s="218"/>
      <c r="G15" s="58"/>
      <c r="H15" s="58"/>
      <c r="I15" s="58"/>
      <c r="J15" s="58"/>
      <c r="K15" s="58"/>
      <c r="L15" s="58"/>
      <c r="M15" s="58"/>
      <c r="N15" s="58"/>
      <c r="O15" s="58"/>
      <c r="Q15" s="58"/>
      <c r="V15" s="102"/>
    </row>
    <row r="16" spans="2:22" s="51" customFormat="1" ht="15">
      <c r="B16" s="16" t="s">
        <v>1</v>
      </c>
      <c r="C16" s="59"/>
      <c r="D16" s="129">
        <v>19782</v>
      </c>
      <c r="E16" s="129">
        <v>16439</v>
      </c>
      <c r="F16" s="202"/>
      <c r="G16" s="129">
        <v>23812</v>
      </c>
      <c r="H16" s="129">
        <v>21945</v>
      </c>
      <c r="I16" s="129"/>
      <c r="J16" s="129">
        <f>P16-D16-G16</f>
        <v>-23853.383476140785</v>
      </c>
      <c r="K16" s="129">
        <f>Q16-E16-H16+1</f>
        <v>-18601</v>
      </c>
      <c r="L16" s="129"/>
      <c r="M16" s="129">
        <f>P16</f>
        <v>19740.616523859215</v>
      </c>
      <c r="N16" s="129">
        <f>Q16</f>
        <v>19782</v>
      </c>
      <c r="O16" s="59"/>
      <c r="P16" s="129">
        <f>'[5]1conso-YTD (2)'!$W$13</f>
        <v>19740.616523859215</v>
      </c>
      <c r="Q16" s="129">
        <v>19782</v>
      </c>
      <c r="R16" s="60"/>
      <c r="V16" s="102">
        <v>23670.793759999993</v>
      </c>
    </row>
    <row r="17" spans="3:22" s="51" customFormat="1" ht="14.25">
      <c r="C17" s="59"/>
      <c r="D17" s="129"/>
      <c r="E17" s="129"/>
      <c r="F17" s="202"/>
      <c r="G17" s="129"/>
      <c r="H17" s="129"/>
      <c r="I17" s="129"/>
      <c r="J17" s="129"/>
      <c r="K17" s="129"/>
      <c r="L17" s="129"/>
      <c r="M17" s="129"/>
      <c r="N17" s="129"/>
      <c r="O17" s="59"/>
      <c r="P17" s="129"/>
      <c r="Q17" s="129"/>
      <c r="R17" s="60"/>
      <c r="V17" s="102"/>
    </row>
    <row r="18" spans="2:22" s="51" customFormat="1" ht="14.25">
      <c r="B18" s="51" t="s">
        <v>31</v>
      </c>
      <c r="C18" s="59"/>
      <c r="D18" s="129">
        <v>-11190</v>
      </c>
      <c r="E18" s="129">
        <v>-9507</v>
      </c>
      <c r="F18" s="202"/>
      <c r="G18" s="129">
        <v>-14545</v>
      </c>
      <c r="H18" s="129">
        <v>-11491</v>
      </c>
      <c r="I18" s="129"/>
      <c r="J18" s="129">
        <f>P18-D18-G18</f>
        <v>12027.360676859089</v>
      </c>
      <c r="K18" s="129">
        <f>Q18-E18-H18-1</f>
        <v>9807</v>
      </c>
      <c r="L18" s="129"/>
      <c r="M18" s="129">
        <f>P18</f>
        <v>-13707.639323140911</v>
      </c>
      <c r="N18" s="129">
        <f>Q18</f>
        <v>-11190</v>
      </c>
      <c r="O18" s="59"/>
      <c r="P18" s="129">
        <f>'[5]1conso-YTD (2)'!$W$14</f>
        <v>-13707.639323140911</v>
      </c>
      <c r="Q18" s="129">
        <v>-11190</v>
      </c>
      <c r="R18" s="60"/>
      <c r="V18" s="102">
        <v>-11784.867779999999</v>
      </c>
    </row>
    <row r="19" spans="2:22" s="51" customFormat="1" ht="14.25">
      <c r="B19" s="60"/>
      <c r="C19" s="59"/>
      <c r="D19" s="172"/>
      <c r="E19" s="172"/>
      <c r="F19" s="176"/>
      <c r="G19" s="172"/>
      <c r="H19" s="172"/>
      <c r="I19" s="176"/>
      <c r="J19" s="172"/>
      <c r="K19" s="172"/>
      <c r="L19" s="176"/>
      <c r="M19" s="172"/>
      <c r="N19" s="172"/>
      <c r="O19" s="59"/>
      <c r="P19" s="133"/>
      <c r="Q19" s="172"/>
      <c r="R19" s="60"/>
      <c r="V19" s="102"/>
    </row>
    <row r="20" spans="2:24" s="51" customFormat="1" ht="15">
      <c r="B20" s="61" t="s">
        <v>32</v>
      </c>
      <c r="C20" s="59"/>
      <c r="D20" s="129">
        <f>SUM(D16:D19)</f>
        <v>8592</v>
      </c>
      <c r="E20" s="129">
        <f>SUM(E16:E19)</f>
        <v>6932</v>
      </c>
      <c r="F20" s="202"/>
      <c r="G20" s="129">
        <f>SUM(G16:G19)</f>
        <v>9267</v>
      </c>
      <c r="H20" s="129">
        <f>SUM(H16:H19)</f>
        <v>10454</v>
      </c>
      <c r="I20" s="129"/>
      <c r="J20" s="129">
        <f>SUM(J16:J19)</f>
        <v>-11826.022799281696</v>
      </c>
      <c r="K20" s="129">
        <f>SUM(K16:K19)</f>
        <v>-8794</v>
      </c>
      <c r="L20" s="129"/>
      <c r="M20" s="129">
        <f>SUM(M16:M19)</f>
        <v>6032.977200718304</v>
      </c>
      <c r="N20" s="129">
        <f>SUM(N16:N19)</f>
        <v>8592</v>
      </c>
      <c r="O20" s="59"/>
      <c r="P20" s="129">
        <f>+P16+P18</f>
        <v>6032.977200718304</v>
      </c>
      <c r="Q20" s="202">
        <f>SUM(Q16:Q18)</f>
        <v>8592</v>
      </c>
      <c r="R20" s="60"/>
      <c r="T20" s="137" t="e">
        <f>#REF!/#REF!</f>
        <v>#REF!</v>
      </c>
      <c r="U20" s="137">
        <f>P20/P16</f>
        <v>0.30561240037395143</v>
      </c>
      <c r="V20" s="102">
        <v>11885.925979999995</v>
      </c>
      <c r="X20" s="61" t="s">
        <v>32</v>
      </c>
    </row>
    <row r="21" spans="3:22" s="51" customFormat="1" ht="14.25">
      <c r="C21" s="59"/>
      <c r="D21" s="132"/>
      <c r="E21" s="132"/>
      <c r="F21" s="176"/>
      <c r="G21" s="132"/>
      <c r="H21" s="132"/>
      <c r="I21" s="132"/>
      <c r="J21" s="132"/>
      <c r="K21" s="132"/>
      <c r="L21" s="132"/>
      <c r="M21" s="132"/>
      <c r="N21" s="132"/>
      <c r="O21" s="59"/>
      <c r="P21" s="132"/>
      <c r="Q21" s="132"/>
      <c r="R21" s="60"/>
      <c r="V21" s="102"/>
    </row>
    <row r="22" spans="2:24" s="51" customFormat="1" ht="12.75" customHeight="1">
      <c r="B22" s="51" t="s">
        <v>50</v>
      </c>
      <c r="C22" s="59"/>
      <c r="D22" s="129">
        <v>620</v>
      </c>
      <c r="E22" s="129">
        <v>431</v>
      </c>
      <c r="F22" s="202"/>
      <c r="G22" s="129">
        <v>221</v>
      </c>
      <c r="H22" s="129">
        <v>300</v>
      </c>
      <c r="I22" s="129"/>
      <c r="J22" s="129">
        <f>P22-D22-G22</f>
        <v>-602.9921440371097</v>
      </c>
      <c r="K22" s="129">
        <f>Q22-E22-H22</f>
        <v>-111</v>
      </c>
      <c r="L22" s="129"/>
      <c r="M22" s="129">
        <f>P22</f>
        <v>238.00785596289023</v>
      </c>
      <c r="N22" s="129">
        <f>Q22</f>
        <v>620</v>
      </c>
      <c r="O22" s="59"/>
      <c r="P22" s="129">
        <f>'[5]1conso-YTD (2)'!$W$17</f>
        <v>238.00785596289023</v>
      </c>
      <c r="Q22" s="129">
        <v>620</v>
      </c>
      <c r="R22" s="87"/>
      <c r="V22" s="102">
        <v>1358.941480000004</v>
      </c>
      <c r="X22" s="51" t="s">
        <v>50</v>
      </c>
    </row>
    <row r="23" spans="3:22" s="51" customFormat="1" ht="12.75" customHeight="1">
      <c r="C23" s="59"/>
      <c r="D23" s="132"/>
      <c r="E23" s="129"/>
      <c r="F23" s="202"/>
      <c r="G23" s="129"/>
      <c r="H23" s="129"/>
      <c r="I23" s="129"/>
      <c r="J23" s="129"/>
      <c r="K23" s="129"/>
      <c r="L23" s="129"/>
      <c r="M23" s="129"/>
      <c r="N23" s="129"/>
      <c r="O23" s="59"/>
      <c r="P23" s="129"/>
      <c r="Q23" s="129"/>
      <c r="R23" s="87"/>
      <c r="V23" s="102"/>
    </row>
    <row r="24" spans="2:24" s="51" customFormat="1" ht="12.75" customHeight="1">
      <c r="B24" s="51" t="s">
        <v>136</v>
      </c>
      <c r="C24" s="59"/>
      <c r="D24" s="129">
        <v>-5393</v>
      </c>
      <c r="E24" s="129">
        <v>-4720</v>
      </c>
      <c r="F24" s="202"/>
      <c r="G24" s="129">
        <v>-5882</v>
      </c>
      <c r="H24" s="129">
        <v>-5067</v>
      </c>
      <c r="I24" s="129"/>
      <c r="J24" s="129">
        <f>P24-D24-G24</f>
        <v>5476.946455961999</v>
      </c>
      <c r="K24" s="129">
        <f>Q24-E24-H24</f>
        <v>4394</v>
      </c>
      <c r="L24" s="129"/>
      <c r="M24" s="129">
        <f>P24</f>
        <v>-5798.053544038001</v>
      </c>
      <c r="N24" s="129">
        <f>Q24</f>
        <v>-5393</v>
      </c>
      <c r="O24" s="59"/>
      <c r="P24" s="129">
        <f>'[5]1conso-YTD (2)'!$W$19+'[5]1conso-YTD (2)'!$W$20</f>
        <v>-5798.053544038001</v>
      </c>
      <c r="Q24" s="129">
        <v>-5393</v>
      </c>
      <c r="R24" s="87"/>
      <c r="V24" s="102">
        <v>-4046.5124700000015</v>
      </c>
      <c r="X24" s="51" t="s">
        <v>136</v>
      </c>
    </row>
    <row r="25" spans="3:22" s="51" customFormat="1" ht="12.75" customHeight="1">
      <c r="C25" s="59"/>
      <c r="D25" s="132"/>
      <c r="E25" s="132"/>
      <c r="F25" s="176"/>
      <c r="G25" s="132"/>
      <c r="H25" s="132"/>
      <c r="I25" s="132"/>
      <c r="J25" s="132"/>
      <c r="K25" s="132"/>
      <c r="L25" s="132"/>
      <c r="M25" s="132"/>
      <c r="N25" s="132"/>
      <c r="O25" s="59"/>
      <c r="P25" s="129"/>
      <c r="Q25" s="129"/>
      <c r="R25" s="87"/>
      <c r="V25" s="102"/>
    </row>
    <row r="26" spans="2:24" s="51" customFormat="1" ht="12.75" customHeight="1">
      <c r="B26" s="51" t="s">
        <v>135</v>
      </c>
      <c r="C26" s="59"/>
      <c r="D26" s="129">
        <v>-737</v>
      </c>
      <c r="E26" s="129">
        <v>-1027</v>
      </c>
      <c r="F26" s="202"/>
      <c r="G26" s="129">
        <v>-727</v>
      </c>
      <c r="H26" s="129">
        <v>-1014</v>
      </c>
      <c r="I26" s="129"/>
      <c r="J26" s="129">
        <f>P26-D26-G26</f>
        <v>727.654499954375</v>
      </c>
      <c r="K26" s="129">
        <f>Q26-E26-H26</f>
        <v>1304</v>
      </c>
      <c r="L26" s="129"/>
      <c r="M26" s="129">
        <f>P26</f>
        <v>-736.345500045625</v>
      </c>
      <c r="N26" s="129">
        <f>Q26</f>
        <v>-737</v>
      </c>
      <c r="O26" s="59"/>
      <c r="P26" s="129">
        <f>'[5]1conso-YTD (2)'!$W$21</f>
        <v>-736.345500045625</v>
      </c>
      <c r="Q26" s="129">
        <v>-737</v>
      </c>
      <c r="R26" s="87"/>
      <c r="V26" s="102">
        <v>-681.92669</v>
      </c>
      <c r="X26" s="51" t="s">
        <v>135</v>
      </c>
    </row>
    <row r="27" spans="2:24" s="51" customFormat="1" ht="14.25">
      <c r="B27" s="64"/>
      <c r="C27" s="59"/>
      <c r="D27" s="132"/>
      <c r="E27" s="129"/>
      <c r="F27" s="202"/>
      <c r="G27" s="129"/>
      <c r="H27" s="129"/>
      <c r="I27" s="129"/>
      <c r="J27" s="129"/>
      <c r="K27" s="129"/>
      <c r="L27" s="129"/>
      <c r="M27" s="129"/>
      <c r="N27" s="129"/>
      <c r="O27" s="59"/>
      <c r="P27" s="129"/>
      <c r="Q27" s="129"/>
      <c r="R27" s="60"/>
      <c r="V27" s="102"/>
      <c r="X27" s="64"/>
    </row>
    <row r="28" spans="2:24" s="51" customFormat="1" ht="14.25">
      <c r="B28" s="51" t="s">
        <v>51</v>
      </c>
      <c r="C28" s="63"/>
      <c r="D28" s="129">
        <v>-587</v>
      </c>
      <c r="E28" s="129">
        <v>-405</v>
      </c>
      <c r="F28" s="202"/>
      <c r="G28" s="129">
        <v>-758</v>
      </c>
      <c r="H28" s="129">
        <v>-565</v>
      </c>
      <c r="I28" s="129"/>
      <c r="J28" s="129">
        <f>P28-D28-G28</f>
        <v>981.0329</v>
      </c>
      <c r="K28" s="129">
        <f>Q28-E28-H28-1</f>
        <v>382</v>
      </c>
      <c r="L28" s="129"/>
      <c r="M28" s="129">
        <f>P28</f>
        <v>-363.96709999999996</v>
      </c>
      <c r="N28" s="129">
        <f>Q28</f>
        <v>-587</v>
      </c>
      <c r="O28" s="63"/>
      <c r="P28" s="129">
        <f>'[5]1conso-YTD (2)'!$W$26</f>
        <v>-363.96709999999996</v>
      </c>
      <c r="Q28" s="129">
        <v>-587</v>
      </c>
      <c r="R28" s="60"/>
      <c r="V28" s="102">
        <v>-937.79819</v>
      </c>
      <c r="X28" s="51" t="s">
        <v>51</v>
      </c>
    </row>
    <row r="29" spans="3:22" s="51" customFormat="1" ht="14.25">
      <c r="C29" s="59"/>
      <c r="D29" s="133"/>
      <c r="E29" s="133"/>
      <c r="F29" s="176"/>
      <c r="G29" s="133"/>
      <c r="H29" s="133"/>
      <c r="I29" s="132"/>
      <c r="J29" s="133"/>
      <c r="K29" s="133"/>
      <c r="L29" s="132"/>
      <c r="M29" s="133"/>
      <c r="N29" s="133"/>
      <c r="O29" s="59"/>
      <c r="P29" s="133"/>
      <c r="Q29" s="133"/>
      <c r="R29" s="87"/>
      <c r="V29" s="102"/>
    </row>
    <row r="30" spans="2:25" s="51" customFormat="1" ht="15">
      <c r="B30" s="16" t="s">
        <v>258</v>
      </c>
      <c r="C30" s="59"/>
      <c r="D30" s="129">
        <f>SUM(D20:D29)</f>
        <v>2495</v>
      </c>
      <c r="E30" s="129">
        <f>SUM(E20:E29)</f>
        <v>1211</v>
      </c>
      <c r="F30" s="202"/>
      <c r="G30" s="129">
        <f>SUM(G20:G29)</f>
        <v>2121</v>
      </c>
      <c r="H30" s="129">
        <f>SUM(H20:H29)</f>
        <v>4108</v>
      </c>
      <c r="I30" s="129"/>
      <c r="J30" s="129">
        <f>SUM(J20:J29)+1</f>
        <v>-5242.381087402431</v>
      </c>
      <c r="K30" s="129">
        <f>SUM(K20:K29)</f>
        <v>-2825</v>
      </c>
      <c r="L30" s="129"/>
      <c r="M30" s="129">
        <f>SUM(M20:M29)</f>
        <v>-627.3810874024321</v>
      </c>
      <c r="N30" s="129">
        <f>SUM(N20:N29)</f>
        <v>2495</v>
      </c>
      <c r="O30" s="59"/>
      <c r="P30" s="129">
        <f>SUM(P20:P28)</f>
        <v>-627.3810874024321</v>
      </c>
      <c r="Q30" s="129">
        <f>SUM(Q20:Q29)</f>
        <v>2495</v>
      </c>
      <c r="R30" s="60"/>
      <c r="T30" s="137" t="e">
        <f>#REF!/#REF!</f>
        <v>#REF!</v>
      </c>
      <c r="U30" s="137">
        <f>P30/P16</f>
        <v>-0.03178123067454134</v>
      </c>
      <c r="V30" s="102">
        <v>7577.630109999996</v>
      </c>
      <c r="X30" s="16" t="s">
        <v>127</v>
      </c>
      <c r="Y30" s="115"/>
    </row>
    <row r="31" spans="3:22" s="51" customFormat="1" ht="14.25">
      <c r="C31" s="59"/>
      <c r="D31" s="129"/>
      <c r="E31" s="129"/>
      <c r="F31" s="202"/>
      <c r="G31" s="129"/>
      <c r="H31" s="129"/>
      <c r="I31" s="129"/>
      <c r="J31" s="129"/>
      <c r="K31" s="129"/>
      <c r="L31" s="129"/>
      <c r="M31" s="129"/>
      <c r="N31" s="129"/>
      <c r="O31" s="59"/>
      <c r="P31" s="129"/>
      <c r="Q31" s="129"/>
      <c r="R31" s="60"/>
      <c r="V31" s="102"/>
    </row>
    <row r="32" spans="2:24" s="51" customFormat="1" ht="14.25">
      <c r="B32" s="51" t="s">
        <v>33</v>
      </c>
      <c r="C32" s="59"/>
      <c r="D32" s="129">
        <v>-860</v>
      </c>
      <c r="E32" s="129">
        <v>-206</v>
      </c>
      <c r="F32" s="202"/>
      <c r="G32" s="129">
        <v>-250</v>
      </c>
      <c r="H32" s="129">
        <v>-1072</v>
      </c>
      <c r="I32" s="129"/>
      <c r="J32" s="129">
        <f>P32-D32-G32</f>
        <v>1110</v>
      </c>
      <c r="K32" s="129">
        <f>Q32-E32-H32</f>
        <v>418</v>
      </c>
      <c r="L32" s="129"/>
      <c r="M32" s="223">
        <f>P32</f>
        <v>0</v>
      </c>
      <c r="N32" s="129">
        <f>Q32</f>
        <v>-860</v>
      </c>
      <c r="O32" s="59"/>
      <c r="P32" s="223">
        <f>'[5]1conso-YTD (2)'!$W$29</f>
        <v>0</v>
      </c>
      <c r="Q32" s="129">
        <v>-860</v>
      </c>
      <c r="R32" s="60"/>
      <c r="V32" s="102">
        <v>-1821.0964013993403</v>
      </c>
      <c r="X32" s="51" t="s">
        <v>33</v>
      </c>
    </row>
    <row r="33" spans="3:22" s="51" customFormat="1" ht="14.25">
      <c r="C33" s="59"/>
      <c r="D33" s="132"/>
      <c r="E33" s="132"/>
      <c r="F33" s="176"/>
      <c r="G33" s="132"/>
      <c r="H33" s="132"/>
      <c r="I33" s="132"/>
      <c r="J33" s="132"/>
      <c r="K33" s="132"/>
      <c r="L33" s="132"/>
      <c r="M33" s="132"/>
      <c r="N33" s="132"/>
      <c r="O33" s="59"/>
      <c r="P33" s="133"/>
      <c r="Q33" s="133"/>
      <c r="R33" s="87"/>
      <c r="V33" s="102"/>
    </row>
    <row r="34" spans="2:24" s="51" customFormat="1" ht="15.75" thickBot="1">
      <c r="B34" s="16" t="s">
        <v>259</v>
      </c>
      <c r="C34" s="59"/>
      <c r="D34" s="130">
        <f>SUM(D30:D33)</f>
        <v>1635</v>
      </c>
      <c r="E34" s="130">
        <f>SUM(E30:E33)</f>
        <v>1005</v>
      </c>
      <c r="F34" s="176"/>
      <c r="G34" s="130">
        <f>SUM(G30:G33)</f>
        <v>1871</v>
      </c>
      <c r="H34" s="130">
        <f>SUM(H30:H33)</f>
        <v>3036</v>
      </c>
      <c r="I34" s="132"/>
      <c r="J34" s="130">
        <f>SUM(J30:J33)</f>
        <v>-4132.381087402431</v>
      </c>
      <c r="K34" s="130">
        <f>SUM(K30:K33)</f>
        <v>-2407</v>
      </c>
      <c r="L34" s="132"/>
      <c r="M34" s="130">
        <f>SUM(M30:M33)</f>
        <v>-627.3810874024321</v>
      </c>
      <c r="N34" s="130">
        <f>SUM(N30:N33)</f>
        <v>1635</v>
      </c>
      <c r="O34" s="59"/>
      <c r="P34" s="130">
        <f>SUM(P30:P33)</f>
        <v>-627.3810874024321</v>
      </c>
      <c r="Q34" s="130">
        <f>SUM(Q30:Q33)</f>
        <v>1635</v>
      </c>
      <c r="R34" s="60"/>
      <c r="T34" s="137" t="e">
        <f>#REF!/#REF!</f>
        <v>#REF!</v>
      </c>
      <c r="U34" s="137">
        <f>P34/P16</f>
        <v>-0.03178123067454134</v>
      </c>
      <c r="V34" s="102">
        <v>5756.533708600657</v>
      </c>
      <c r="X34" s="16" t="s">
        <v>128</v>
      </c>
    </row>
    <row r="35" spans="2:24" s="51" customFormat="1" ht="15.75" thickTop="1">
      <c r="B35" s="16"/>
      <c r="C35" s="59"/>
      <c r="D35" s="132"/>
      <c r="E35" s="132"/>
      <c r="F35" s="176"/>
      <c r="G35" s="132"/>
      <c r="H35" s="132"/>
      <c r="I35" s="132"/>
      <c r="J35" s="132"/>
      <c r="K35" s="132"/>
      <c r="L35" s="132"/>
      <c r="M35" s="132"/>
      <c r="N35" s="132"/>
      <c r="O35" s="59"/>
      <c r="P35" s="132"/>
      <c r="Q35" s="132"/>
      <c r="R35" s="60"/>
      <c r="T35" s="137"/>
      <c r="U35" s="137"/>
      <c r="V35" s="102"/>
      <c r="X35" s="16"/>
    </row>
    <row r="36" spans="2:24" s="51" customFormat="1" ht="15">
      <c r="B36" s="16" t="s">
        <v>217</v>
      </c>
      <c r="C36" s="186"/>
      <c r="D36" s="185">
        <v>0</v>
      </c>
      <c r="E36" s="185">
        <v>0</v>
      </c>
      <c r="F36" s="219"/>
      <c r="G36" s="185">
        <v>0</v>
      </c>
      <c r="H36" s="129">
        <f>Q36-E36</f>
        <v>0</v>
      </c>
      <c r="I36" s="129"/>
      <c r="J36" s="185">
        <v>0</v>
      </c>
      <c r="K36" s="223">
        <f>T36-H36</f>
        <v>0</v>
      </c>
      <c r="L36" s="223"/>
      <c r="M36" s="185">
        <v>0</v>
      </c>
      <c r="N36" s="185">
        <v>0</v>
      </c>
      <c r="O36" s="186"/>
      <c r="P36" s="185">
        <v>0</v>
      </c>
      <c r="Q36" s="185">
        <v>0</v>
      </c>
      <c r="R36" s="60"/>
      <c r="T36" s="137"/>
      <c r="U36" s="137"/>
      <c r="V36" s="102"/>
      <c r="X36" s="16"/>
    </row>
    <row r="37" spans="2:24" s="51" customFormat="1" ht="15">
      <c r="B37" s="16"/>
      <c r="C37" s="186"/>
      <c r="D37" s="185"/>
      <c r="E37" s="185"/>
      <c r="F37" s="219"/>
      <c r="G37" s="185"/>
      <c r="H37" s="185"/>
      <c r="I37" s="185"/>
      <c r="J37" s="185"/>
      <c r="K37" s="185"/>
      <c r="L37" s="185"/>
      <c r="M37" s="185"/>
      <c r="N37" s="185"/>
      <c r="O37" s="186"/>
      <c r="P37" s="185"/>
      <c r="Q37" s="185"/>
      <c r="R37" s="60"/>
      <c r="T37" s="137"/>
      <c r="U37" s="137"/>
      <c r="V37" s="102"/>
      <c r="X37" s="16"/>
    </row>
    <row r="38" spans="2:24" s="51" customFormat="1" ht="15">
      <c r="B38" s="16" t="s">
        <v>218</v>
      </c>
      <c r="C38" s="186"/>
      <c r="D38" s="187">
        <f>SUM(D36:D37)</f>
        <v>0</v>
      </c>
      <c r="E38" s="187">
        <f>SUM(E36:E37)</f>
        <v>0</v>
      </c>
      <c r="F38" s="219"/>
      <c r="G38" s="187">
        <f>SUM(G36:G37)</f>
        <v>0</v>
      </c>
      <c r="H38" s="187"/>
      <c r="I38" s="185"/>
      <c r="J38" s="187">
        <f>SUM(J36:J37)</f>
        <v>0</v>
      </c>
      <c r="K38" s="187"/>
      <c r="L38" s="185"/>
      <c r="M38" s="187">
        <f>SUM(M36:M37)</f>
        <v>0</v>
      </c>
      <c r="N38" s="187">
        <f>SUM(N36:N37)</f>
        <v>0</v>
      </c>
      <c r="O38" s="186"/>
      <c r="P38" s="187">
        <f>SUM(P36:P37)</f>
        <v>0</v>
      </c>
      <c r="Q38" s="187">
        <v>0</v>
      </c>
      <c r="R38" s="60"/>
      <c r="T38" s="137"/>
      <c r="U38" s="137"/>
      <c r="V38" s="102"/>
      <c r="X38" s="16"/>
    </row>
    <row r="39" spans="2:24" s="51" customFormat="1" ht="15">
      <c r="B39" s="16"/>
      <c r="C39" s="59"/>
      <c r="D39" s="132"/>
      <c r="E39" s="132"/>
      <c r="F39" s="176"/>
      <c r="G39" s="132"/>
      <c r="H39" s="132"/>
      <c r="I39" s="132"/>
      <c r="J39" s="132"/>
      <c r="K39" s="132"/>
      <c r="L39" s="132"/>
      <c r="M39" s="132"/>
      <c r="N39" s="132"/>
      <c r="O39" s="59"/>
      <c r="P39" s="132"/>
      <c r="Q39" s="132"/>
      <c r="R39" s="60"/>
      <c r="T39" s="137"/>
      <c r="U39" s="137"/>
      <c r="V39" s="102"/>
      <c r="X39" s="16"/>
    </row>
    <row r="40" spans="2:24" s="51" customFormat="1" ht="15.75" thickBot="1">
      <c r="B40" s="188" t="s">
        <v>279</v>
      </c>
      <c r="C40" s="59"/>
      <c r="D40" s="134">
        <f>D34</f>
        <v>1635</v>
      </c>
      <c r="E40" s="134">
        <f>E34</f>
        <v>1005</v>
      </c>
      <c r="F40" s="176"/>
      <c r="G40" s="134">
        <f>G34</f>
        <v>1871</v>
      </c>
      <c r="H40" s="134">
        <f>H34</f>
        <v>3036</v>
      </c>
      <c r="I40" s="132"/>
      <c r="J40" s="134">
        <f>J34</f>
        <v>-4132.381087402431</v>
      </c>
      <c r="K40" s="134">
        <f>K34</f>
        <v>-2407</v>
      </c>
      <c r="L40" s="132"/>
      <c r="M40" s="134">
        <f>M34</f>
        <v>-627.3810874024321</v>
      </c>
      <c r="N40" s="134">
        <f>N34</f>
        <v>1635</v>
      </c>
      <c r="O40" s="59"/>
      <c r="P40" s="134">
        <f>P34</f>
        <v>-627.3810874024321</v>
      </c>
      <c r="Q40" s="134">
        <f>Q34</f>
        <v>1635</v>
      </c>
      <c r="R40" s="60"/>
      <c r="T40" s="137"/>
      <c r="U40" s="137"/>
      <c r="V40" s="102"/>
      <c r="X40" s="16"/>
    </row>
    <row r="41" spans="2:24" s="51" customFormat="1" ht="15.75" thickTop="1">
      <c r="B41" s="16"/>
      <c r="C41" s="59"/>
      <c r="D41" s="132"/>
      <c r="E41" s="132"/>
      <c r="F41" s="176"/>
      <c r="G41" s="132"/>
      <c r="H41" s="132"/>
      <c r="I41" s="132"/>
      <c r="J41" s="132"/>
      <c r="K41" s="132"/>
      <c r="L41" s="132"/>
      <c r="M41" s="132"/>
      <c r="N41" s="132"/>
      <c r="O41" s="59"/>
      <c r="P41" s="132"/>
      <c r="Q41" s="132"/>
      <c r="R41" s="60"/>
      <c r="T41" s="137"/>
      <c r="U41" s="137"/>
      <c r="V41" s="102"/>
      <c r="X41" s="16"/>
    </row>
    <row r="42" spans="2:24" s="51" customFormat="1" ht="15">
      <c r="B42" s="16" t="s">
        <v>260</v>
      </c>
      <c r="C42" s="59"/>
      <c r="D42" s="132"/>
      <c r="E42" s="132"/>
      <c r="F42" s="176"/>
      <c r="G42" s="132"/>
      <c r="H42" s="132"/>
      <c r="I42" s="132"/>
      <c r="J42" s="132"/>
      <c r="K42" s="132"/>
      <c r="L42" s="132"/>
      <c r="M42" s="132"/>
      <c r="N42" s="132"/>
      <c r="O42" s="59"/>
      <c r="P42" s="132"/>
      <c r="Q42" s="132"/>
      <c r="R42" s="60"/>
      <c r="T42" s="137"/>
      <c r="U42" s="137"/>
      <c r="V42" s="102"/>
      <c r="X42" s="16"/>
    </row>
    <row r="43" spans="2:24" s="51" customFormat="1" ht="15">
      <c r="B43" s="16"/>
      <c r="C43" s="59"/>
      <c r="D43" s="132"/>
      <c r="E43" s="132"/>
      <c r="F43" s="176"/>
      <c r="G43" s="132"/>
      <c r="H43" s="132"/>
      <c r="I43" s="132"/>
      <c r="J43" s="132"/>
      <c r="K43" s="132"/>
      <c r="L43" s="132"/>
      <c r="M43" s="132"/>
      <c r="N43" s="132"/>
      <c r="O43" s="59"/>
      <c r="P43" s="132"/>
      <c r="Q43" s="132"/>
      <c r="R43" s="60"/>
      <c r="T43" s="137"/>
      <c r="U43" s="137"/>
      <c r="V43" s="102"/>
      <c r="X43" s="16"/>
    </row>
    <row r="44" spans="2:24" s="51" customFormat="1" ht="15">
      <c r="B44" s="51" t="s">
        <v>224</v>
      </c>
      <c r="C44" s="59"/>
      <c r="D44" s="129">
        <v>1699</v>
      </c>
      <c r="E44" s="129">
        <v>1007</v>
      </c>
      <c r="F44" s="202"/>
      <c r="G44" s="129">
        <v>1824</v>
      </c>
      <c r="H44" s="129">
        <v>3041</v>
      </c>
      <c r="I44" s="129"/>
      <c r="J44" s="129">
        <v>1457</v>
      </c>
      <c r="K44" s="129">
        <v>2079</v>
      </c>
      <c r="L44" s="129"/>
      <c r="M44" s="129">
        <f>P44</f>
        <v>-565</v>
      </c>
      <c r="N44" s="129">
        <f>Q44</f>
        <v>1699</v>
      </c>
      <c r="O44" s="62"/>
      <c r="P44" s="176">
        <v>-565</v>
      </c>
      <c r="Q44" s="176">
        <v>1699</v>
      </c>
      <c r="R44" s="60"/>
      <c r="T44" s="137"/>
      <c r="U44" s="137"/>
      <c r="V44" s="102"/>
      <c r="X44" s="16"/>
    </row>
    <row r="45" spans="3:24" s="51" customFormat="1" ht="15">
      <c r="C45" s="59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62"/>
      <c r="P45" s="176"/>
      <c r="Q45" s="176"/>
      <c r="R45" s="60"/>
      <c r="T45" s="137"/>
      <c r="U45" s="137"/>
      <c r="V45" s="102"/>
      <c r="X45" s="16"/>
    </row>
    <row r="46" spans="2:24" s="51" customFormat="1" ht="15">
      <c r="B46" s="51" t="s">
        <v>225</v>
      </c>
      <c r="C46" s="59"/>
      <c r="D46" s="129">
        <v>-64</v>
      </c>
      <c r="E46" s="129">
        <v>-2</v>
      </c>
      <c r="F46" s="202"/>
      <c r="G46" s="129">
        <v>48</v>
      </c>
      <c r="H46" s="129">
        <v>-5</v>
      </c>
      <c r="I46" s="129"/>
      <c r="J46" s="129">
        <f>P46-D46-G46</f>
        <v>-46.17243645200001</v>
      </c>
      <c r="K46" s="129">
        <v>-40</v>
      </c>
      <c r="L46" s="129"/>
      <c r="M46" s="129">
        <f>P46</f>
        <v>-62.17243645200001</v>
      </c>
      <c r="N46" s="129">
        <f>Q46</f>
        <v>-64</v>
      </c>
      <c r="O46" s="62"/>
      <c r="P46" s="202">
        <f>-'[5]1conso-YTD (2)'!$W$31</f>
        <v>-62.17243645200001</v>
      </c>
      <c r="Q46" s="202">
        <v>-64</v>
      </c>
      <c r="R46" s="60"/>
      <c r="T46" s="137"/>
      <c r="U46" s="137"/>
      <c r="V46" s="102"/>
      <c r="X46" s="16"/>
    </row>
    <row r="47" spans="2:24" s="51" customFormat="1" ht="15">
      <c r="B47" s="16"/>
      <c r="C47" s="59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62"/>
      <c r="P47" s="176"/>
      <c r="Q47" s="176"/>
      <c r="R47" s="60"/>
      <c r="T47" s="137"/>
      <c r="U47" s="137"/>
      <c r="V47" s="102"/>
      <c r="X47" s="16"/>
    </row>
    <row r="48" spans="2:24" s="51" customFormat="1" ht="15.75" thickBot="1">
      <c r="B48" s="51" t="s">
        <v>219</v>
      </c>
      <c r="C48" s="59"/>
      <c r="D48" s="204">
        <f>SUM(D44:D47)</f>
        <v>1635</v>
      </c>
      <c r="E48" s="204">
        <f>SUM(E44:E47)</f>
        <v>1005</v>
      </c>
      <c r="F48" s="176"/>
      <c r="G48" s="204">
        <f>SUM(G44:G47)</f>
        <v>1872</v>
      </c>
      <c r="H48" s="204">
        <f>SUM(H44:H47)</f>
        <v>3036</v>
      </c>
      <c r="I48" s="176"/>
      <c r="J48" s="204">
        <f>SUM(J44:J47)</f>
        <v>1410.827563548</v>
      </c>
      <c r="K48" s="204">
        <f>SUM(K44:K47)</f>
        <v>2039</v>
      </c>
      <c r="L48" s="176"/>
      <c r="M48" s="204">
        <f>SUM(M44:M47)</f>
        <v>-627.172436452</v>
      </c>
      <c r="N48" s="204">
        <f>SUM(N44:N47)</f>
        <v>1635</v>
      </c>
      <c r="O48" s="62"/>
      <c r="P48" s="204">
        <f>SUM(P44:P47)</f>
        <v>-627.172436452</v>
      </c>
      <c r="Q48" s="204">
        <f>SUM(Q44:Q47)</f>
        <v>1635</v>
      </c>
      <c r="R48" s="60"/>
      <c r="T48" s="137"/>
      <c r="U48" s="137"/>
      <c r="V48" s="102"/>
      <c r="X48" s="16"/>
    </row>
    <row r="49" spans="3:24" s="51" customFormat="1" ht="15.75" thickTop="1">
      <c r="C49" s="59"/>
      <c r="D49" s="176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62"/>
      <c r="P49" s="176"/>
      <c r="Q49" s="176"/>
      <c r="R49" s="60"/>
      <c r="T49" s="137"/>
      <c r="U49" s="137"/>
      <c r="V49" s="102"/>
      <c r="X49" s="16"/>
    </row>
    <row r="50" spans="2:24" s="51" customFormat="1" ht="15">
      <c r="B50" s="16"/>
      <c r="C50" s="59"/>
      <c r="D50" s="176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62"/>
      <c r="P50" s="176"/>
      <c r="Q50" s="176"/>
      <c r="R50" s="60"/>
      <c r="T50" s="137"/>
      <c r="U50" s="137"/>
      <c r="V50" s="102"/>
      <c r="X50" s="16"/>
    </row>
    <row r="51" spans="2:18" s="51" customFormat="1" ht="14.25">
      <c r="B51" s="54" t="s">
        <v>144</v>
      </c>
      <c r="C51" s="59"/>
      <c r="D51" s="176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62"/>
      <c r="P51" s="205"/>
      <c r="Q51" s="176"/>
      <c r="R51" s="87"/>
    </row>
    <row r="52" spans="2:18" s="51" customFormat="1" ht="14.25">
      <c r="B52" s="54" t="s">
        <v>145</v>
      </c>
      <c r="C52" s="62"/>
      <c r="D52" s="202">
        <f>P52</f>
        <v>159976</v>
      </c>
      <c r="E52" s="202">
        <v>90000</v>
      </c>
      <c r="F52" s="202"/>
      <c r="G52" s="202">
        <v>160000</v>
      </c>
      <c r="H52" s="202">
        <v>90000</v>
      </c>
      <c r="I52" s="202"/>
      <c r="J52" s="202">
        <v>159967</v>
      </c>
      <c r="K52" s="202">
        <v>157322</v>
      </c>
      <c r="L52" s="202"/>
      <c r="M52" s="202">
        <f>P52</f>
        <v>159976</v>
      </c>
      <c r="N52" s="202">
        <f>Q52</f>
        <v>160000</v>
      </c>
      <c r="O52" s="62"/>
      <c r="P52" s="176">
        <v>159976</v>
      </c>
      <c r="Q52" s="202">
        <v>160000</v>
      </c>
      <c r="R52" s="87"/>
    </row>
    <row r="53" spans="2:18" s="51" customFormat="1" ht="14.25">
      <c r="B53" s="54"/>
      <c r="C53" s="62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62"/>
      <c r="P53" s="176"/>
      <c r="Q53" s="176"/>
      <c r="R53" s="87"/>
    </row>
    <row r="54" spans="2:18" s="51" customFormat="1" ht="14.25">
      <c r="B54" s="51" t="s">
        <v>220</v>
      </c>
      <c r="C54" s="62"/>
      <c r="D54" s="177">
        <f>D44/D52*100</f>
        <v>1.062034305145772</v>
      </c>
      <c r="E54" s="177">
        <f>E44/E52*100</f>
        <v>1.1188888888888888</v>
      </c>
      <c r="F54" s="177"/>
      <c r="G54" s="177">
        <f>G44/G52*100</f>
        <v>1.1400000000000001</v>
      </c>
      <c r="H54" s="177">
        <f>H44/H52*100</f>
        <v>3.378888888888889</v>
      </c>
      <c r="I54" s="177"/>
      <c r="J54" s="177">
        <f>J44/J52*100</f>
        <v>0.910812855151375</v>
      </c>
      <c r="K54" s="177">
        <f>K44/K52*100</f>
        <v>1.321493497412949</v>
      </c>
      <c r="L54" s="177"/>
      <c r="M54" s="177">
        <f>M44/M52*100</f>
        <v>-0.35317797669650447</v>
      </c>
      <c r="N54" s="177">
        <f>N44/N52*100</f>
        <v>1.061875</v>
      </c>
      <c r="O54" s="62"/>
      <c r="P54" s="177">
        <f>P44/P52*100</f>
        <v>-0.35317797669650447</v>
      </c>
      <c r="Q54" s="177">
        <f>Q44/Q52*100</f>
        <v>1.061875</v>
      </c>
      <c r="R54" s="60"/>
    </row>
    <row r="55" spans="6:18" s="51" customFormat="1" ht="14.25">
      <c r="F55" s="190"/>
      <c r="Q55" s="203"/>
      <c r="R55" s="60"/>
    </row>
    <row r="56" spans="3:18" s="51" customFormat="1" ht="14.25">
      <c r="C56" s="65"/>
      <c r="D56" s="65"/>
      <c r="E56" s="65"/>
      <c r="F56" s="220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0"/>
    </row>
    <row r="57" spans="2:6" s="51" customFormat="1" ht="15">
      <c r="B57" s="66" t="s">
        <v>80</v>
      </c>
      <c r="F57" s="190"/>
    </row>
    <row r="58" spans="2:6" s="51" customFormat="1" ht="14.25">
      <c r="B58" s="51" t="s">
        <v>99</v>
      </c>
      <c r="F58" s="190"/>
    </row>
    <row r="59" spans="1:6" s="51" customFormat="1" ht="18">
      <c r="A59" s="120" t="s">
        <v>125</v>
      </c>
      <c r="B59" s="119" t="s">
        <v>140</v>
      </c>
      <c r="F59" s="190"/>
    </row>
    <row r="60" spans="1:6" s="51" customFormat="1" ht="18">
      <c r="A60" s="119"/>
      <c r="B60" s="121" t="s">
        <v>141</v>
      </c>
      <c r="F60" s="190"/>
    </row>
    <row r="61" spans="1:6" s="51" customFormat="1" ht="11.25" customHeight="1">
      <c r="A61" s="119"/>
      <c r="B61" s="119"/>
      <c r="F61" s="190"/>
    </row>
    <row r="62" spans="1:6" s="51" customFormat="1" ht="18">
      <c r="A62" s="118" t="s">
        <v>126</v>
      </c>
      <c r="B62" s="119" t="s">
        <v>221</v>
      </c>
      <c r="F62" s="190"/>
    </row>
    <row r="63" spans="1:6" s="51" customFormat="1" ht="18">
      <c r="A63" s="119"/>
      <c r="B63" s="119" t="s">
        <v>266</v>
      </c>
      <c r="F63" s="190"/>
    </row>
    <row r="64" spans="1:6" s="51" customFormat="1" ht="15.75" customHeight="1">
      <c r="A64" s="119"/>
      <c r="B64" s="119" t="s">
        <v>99</v>
      </c>
      <c r="F64" s="190"/>
    </row>
    <row r="65" spans="1:6" s="51" customFormat="1" ht="15.75" customHeight="1">
      <c r="A65" s="118"/>
      <c r="B65" s="119"/>
      <c r="F65" s="190"/>
    </row>
    <row r="66" spans="2:17" ht="16.5" customHeight="1">
      <c r="B66" s="119"/>
      <c r="C66" s="38"/>
      <c r="D66" s="38"/>
      <c r="E66" s="38"/>
      <c r="F66" s="221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 ht="12.75">
      <c r="B67" s="38"/>
      <c r="C67" s="38"/>
      <c r="D67" s="38"/>
      <c r="E67" s="38"/>
      <c r="F67" s="221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ht="12.75">
      <c r="Q68" s="38"/>
    </row>
    <row r="95" spans="2:16" ht="12.75">
      <c r="B95" s="38"/>
      <c r="C95" s="38"/>
      <c r="D95" s="38"/>
      <c r="E95" s="38"/>
      <c r="F95" s="221"/>
      <c r="G95" s="38"/>
      <c r="H95" s="38"/>
      <c r="I95" s="38"/>
      <c r="J95" s="38"/>
      <c r="K95" s="38"/>
      <c r="L95" s="38"/>
      <c r="M95" s="38"/>
      <c r="N95" s="38"/>
      <c r="O95" s="38"/>
      <c r="P95" s="116" t="e">
        <f>'[2]weighted avr share'!$O$36/1000</f>
        <v>#REF!</v>
      </c>
    </row>
  </sheetData>
  <sheetProtection/>
  <mergeCells count="15">
    <mergeCell ref="P7:Q7"/>
    <mergeCell ref="P9:P12"/>
    <mergeCell ref="Q9:Q12"/>
    <mergeCell ref="D7:E7"/>
    <mergeCell ref="G7:H7"/>
    <mergeCell ref="J7:K7"/>
    <mergeCell ref="M7:N7"/>
    <mergeCell ref="M9:M12"/>
    <mergeCell ref="N9:N12"/>
    <mergeCell ref="J9:J12"/>
    <mergeCell ref="K9:K12"/>
    <mergeCell ref="G9:G12"/>
    <mergeCell ref="H9:H12"/>
    <mergeCell ref="D9:D12"/>
    <mergeCell ref="E9:E12"/>
  </mergeCells>
  <printOptions gridLines="1"/>
  <pageMargins left="0.22" right="0.17" top="0.17" bottom="0.16" header="0.17" footer="0.1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39" t="s">
        <v>153</v>
      </c>
      <c r="C1" s="138"/>
      <c r="D1" s="138"/>
    </row>
    <row r="2" spans="2:4" ht="15">
      <c r="B2" s="139" t="s">
        <v>154</v>
      </c>
      <c r="C2" s="138"/>
      <c r="D2" s="138"/>
    </row>
    <row r="3" spans="2:4" ht="15">
      <c r="B3" s="144"/>
      <c r="C3" s="144"/>
      <c r="D3" s="140">
        <v>2009</v>
      </c>
    </row>
    <row r="4" spans="2:4" ht="15">
      <c r="B4" s="140"/>
      <c r="C4" s="144"/>
      <c r="D4" s="140" t="s">
        <v>155</v>
      </c>
    </row>
    <row r="5" spans="2:4" ht="15">
      <c r="B5" s="144"/>
      <c r="C5" s="144"/>
      <c r="D5" s="140"/>
    </row>
    <row r="6" spans="2:4" ht="15">
      <c r="B6" s="144" t="s">
        <v>34</v>
      </c>
      <c r="C6" s="144"/>
      <c r="D6" s="140"/>
    </row>
    <row r="7" spans="2:4" ht="15">
      <c r="B7" s="144" t="s">
        <v>35</v>
      </c>
      <c r="C7" s="145"/>
      <c r="D7" s="141"/>
    </row>
    <row r="8" spans="2:4" ht="14.25">
      <c r="B8" s="145" t="s">
        <v>112</v>
      </c>
      <c r="C8" s="145">
        <v>4</v>
      </c>
      <c r="D8" s="146">
        <v>27432609</v>
      </c>
    </row>
    <row r="9" spans="2:4" ht="14.25">
      <c r="B9" s="145" t="s">
        <v>156</v>
      </c>
      <c r="C9" s="145">
        <v>5</v>
      </c>
      <c r="D9" s="146">
        <v>2517123</v>
      </c>
    </row>
    <row r="10" spans="2:4" ht="15" thickBot="1">
      <c r="B10" s="145" t="s">
        <v>157</v>
      </c>
      <c r="C10" s="145">
        <v>6</v>
      </c>
      <c r="D10" s="147">
        <v>373969</v>
      </c>
    </row>
    <row r="11" spans="2:4" ht="15" thickBot="1">
      <c r="B11" s="145"/>
      <c r="C11" s="145"/>
      <c r="D11" s="147">
        <v>30323701</v>
      </c>
    </row>
    <row r="12" spans="2:4" ht="14.25">
      <c r="B12" s="145"/>
      <c r="C12" s="145"/>
      <c r="D12" s="141"/>
    </row>
    <row r="13" spans="2:4" ht="15">
      <c r="B13" s="144" t="s">
        <v>158</v>
      </c>
      <c r="C13" s="145"/>
      <c r="D13" s="141"/>
    </row>
    <row r="14" spans="2:4" ht="14.25">
      <c r="B14" s="145" t="s">
        <v>54</v>
      </c>
      <c r="C14" s="145"/>
      <c r="D14" s="146">
        <v>5552350</v>
      </c>
    </row>
    <row r="15" spans="2:4" ht="14.25">
      <c r="B15" s="145" t="s">
        <v>53</v>
      </c>
      <c r="C15" s="145"/>
      <c r="D15" s="146">
        <v>16242532</v>
      </c>
    </row>
    <row r="16" spans="2:4" ht="14.25">
      <c r="B16" s="145" t="s">
        <v>113</v>
      </c>
      <c r="C16" s="145">
        <v>7</v>
      </c>
      <c r="D16" s="146">
        <v>16697047</v>
      </c>
    </row>
    <row r="17" spans="2:4" ht="14.25">
      <c r="B17" s="145" t="s">
        <v>159</v>
      </c>
      <c r="C17" s="145">
        <v>8</v>
      </c>
      <c r="D17" s="146">
        <v>969346</v>
      </c>
    </row>
    <row r="18" spans="2:4" ht="14.25">
      <c r="B18" s="145" t="s">
        <v>160</v>
      </c>
      <c r="C18" s="145"/>
      <c r="D18" s="146">
        <v>641291</v>
      </c>
    </row>
    <row r="19" spans="2:4" ht="14.25">
      <c r="B19" s="145" t="s">
        <v>161</v>
      </c>
      <c r="C19" s="145">
        <v>9</v>
      </c>
      <c r="D19" s="146">
        <v>8538068</v>
      </c>
    </row>
    <row r="20" spans="2:4" ht="14.25">
      <c r="B20" s="145" t="s">
        <v>81</v>
      </c>
      <c r="C20" s="145">
        <v>10</v>
      </c>
      <c r="D20" s="146">
        <v>19711108</v>
      </c>
    </row>
    <row r="21" spans="2:4" ht="15" thickBot="1">
      <c r="B21" s="145" t="s">
        <v>162</v>
      </c>
      <c r="C21" s="145"/>
      <c r="D21" s="147">
        <v>3199333</v>
      </c>
    </row>
    <row r="22" spans="2:4" ht="15" thickBot="1">
      <c r="B22" s="145"/>
      <c r="C22" s="145"/>
      <c r="D22" s="147">
        <v>71551075</v>
      </c>
    </row>
    <row r="23" spans="2:4" ht="14.25">
      <c r="B23" s="145"/>
      <c r="C23" s="145"/>
      <c r="D23" s="141"/>
    </row>
    <row r="24" spans="2:4" ht="15.75" thickBot="1">
      <c r="B24" s="144" t="s">
        <v>163</v>
      </c>
      <c r="C24" s="145"/>
      <c r="D24" s="148">
        <v>101874776</v>
      </c>
    </row>
    <row r="25" spans="2:4" ht="15" thickTop="1">
      <c r="B25" s="145"/>
      <c r="C25" s="145"/>
      <c r="D25" s="141"/>
    </row>
    <row r="26" spans="2:4" ht="15">
      <c r="B26" s="144" t="s">
        <v>37</v>
      </c>
      <c r="C26" s="145"/>
      <c r="D26" s="141"/>
    </row>
    <row r="27" spans="2:4" ht="30">
      <c r="B27" s="144" t="s">
        <v>164</v>
      </c>
      <c r="C27" s="145"/>
      <c r="D27" s="141"/>
    </row>
    <row r="28" spans="2:4" ht="14.25">
      <c r="B28" s="145" t="s">
        <v>57</v>
      </c>
      <c r="C28" s="145">
        <v>11</v>
      </c>
      <c r="D28" s="146">
        <v>45000000</v>
      </c>
    </row>
    <row r="29" spans="2:4" ht="15" thickBot="1">
      <c r="B29" s="145" t="s">
        <v>114</v>
      </c>
      <c r="C29" s="145">
        <v>12</v>
      </c>
      <c r="D29" s="147">
        <v>11565078</v>
      </c>
    </row>
    <row r="30" spans="2:4" ht="15.75" thickBot="1">
      <c r="B30" s="144" t="s">
        <v>62</v>
      </c>
      <c r="C30" s="145"/>
      <c r="D30" s="147">
        <v>56565078</v>
      </c>
    </row>
    <row r="31" spans="2:4" ht="14.25">
      <c r="B31" s="145"/>
      <c r="C31" s="145"/>
      <c r="D31" s="141"/>
    </row>
    <row r="32" spans="2:4" ht="15">
      <c r="B32" s="144" t="s">
        <v>38</v>
      </c>
      <c r="C32" s="145"/>
      <c r="D32" s="141"/>
    </row>
    <row r="33" spans="2:4" ht="14.25">
      <c r="B33" s="145" t="s">
        <v>58</v>
      </c>
      <c r="C33" s="145">
        <v>13</v>
      </c>
      <c r="D33" s="146">
        <v>345789</v>
      </c>
    </row>
    <row r="34" spans="2:4" ht="14.25">
      <c r="B34" s="145" t="s">
        <v>165</v>
      </c>
      <c r="C34" s="145">
        <v>14</v>
      </c>
      <c r="D34" s="146">
        <v>16586846</v>
      </c>
    </row>
    <row r="35" spans="2:4" ht="15" thickBot="1">
      <c r="B35" s="145" t="s">
        <v>116</v>
      </c>
      <c r="C35" s="145">
        <v>15</v>
      </c>
      <c r="D35" s="147">
        <v>1143700</v>
      </c>
    </row>
    <row r="36" spans="2:4" ht="15" thickBot="1">
      <c r="B36" s="145"/>
      <c r="C36" s="145"/>
      <c r="D36" s="147">
        <v>18076335</v>
      </c>
    </row>
    <row r="37" spans="2:4" ht="14.25">
      <c r="B37" s="145"/>
      <c r="C37" s="145"/>
      <c r="D37" s="141"/>
    </row>
    <row r="38" spans="2:4" ht="15">
      <c r="B38" s="144" t="s">
        <v>166</v>
      </c>
      <c r="C38" s="145"/>
      <c r="D38" s="141"/>
    </row>
    <row r="39" spans="2:4" ht="14.25">
      <c r="B39" s="145" t="s">
        <v>167</v>
      </c>
      <c r="C39" s="145">
        <v>16</v>
      </c>
      <c r="D39" s="146">
        <v>8748757</v>
      </c>
    </row>
    <row r="40" spans="2:4" ht="14.25">
      <c r="B40" s="145" t="s">
        <v>117</v>
      </c>
      <c r="C40" s="145"/>
      <c r="D40" s="146">
        <v>2966428</v>
      </c>
    </row>
    <row r="41" spans="2:4" ht="14.25">
      <c r="B41" s="145" t="s">
        <v>58</v>
      </c>
      <c r="C41" s="145">
        <v>13</v>
      </c>
      <c r="D41" s="146">
        <v>127863</v>
      </c>
    </row>
    <row r="42" spans="2:4" ht="14.25">
      <c r="B42" s="145" t="s">
        <v>165</v>
      </c>
      <c r="C42" s="145">
        <v>14</v>
      </c>
      <c r="D42" s="146">
        <v>14173873</v>
      </c>
    </row>
    <row r="43" spans="2:4" ht="15" thickBot="1">
      <c r="B43" s="145" t="s">
        <v>168</v>
      </c>
      <c r="C43" s="145"/>
      <c r="D43" s="147">
        <v>1216442</v>
      </c>
    </row>
    <row r="44" spans="2:4" ht="15" thickBot="1">
      <c r="B44" s="145"/>
      <c r="C44" s="145"/>
      <c r="D44" s="147">
        <v>27233363</v>
      </c>
    </row>
    <row r="45" spans="2:4" ht="14.25">
      <c r="B45" s="145"/>
      <c r="C45" s="145"/>
      <c r="D45" s="141"/>
    </row>
    <row r="46" spans="2:4" ht="15.75" thickBot="1">
      <c r="B46" s="144" t="s">
        <v>169</v>
      </c>
      <c r="C46" s="145"/>
      <c r="D46" s="147">
        <v>45309698</v>
      </c>
    </row>
    <row r="47" spans="2:4" ht="15.75" thickBot="1">
      <c r="B47" s="144" t="s">
        <v>170</v>
      </c>
      <c r="C47" s="145"/>
      <c r="D47" s="148">
        <v>101874776</v>
      </c>
    </row>
    <row r="48" spans="2:4" ht="13.5" thickTop="1">
      <c r="B48" s="142"/>
      <c r="C48" s="142"/>
      <c r="D48" s="149"/>
    </row>
    <row r="49" ht="14.25">
      <c r="B49" s="1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28">
      <selection activeCell="G40" sqref="G40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1.8515625" style="0" customWidth="1"/>
    <col min="6" max="6" width="4.421875" style="0" customWidth="1"/>
    <col min="7" max="7" width="20.7109375" style="0" customWidth="1"/>
  </cols>
  <sheetData>
    <row r="1" spans="2:8" ht="20.25">
      <c r="B1" s="247" t="str">
        <f>+'Income statement'!B1</f>
        <v>HANDAL RESOURCES  BERHAD (816839-X)</v>
      </c>
      <c r="C1" s="247"/>
      <c r="D1" s="247"/>
      <c r="E1" s="247"/>
      <c r="F1" s="247"/>
      <c r="G1" s="247"/>
      <c r="H1" s="247"/>
    </row>
    <row r="2" spans="2:8" ht="18">
      <c r="B2" s="3"/>
      <c r="C2" s="3"/>
      <c r="D2" s="3"/>
      <c r="E2" s="3"/>
      <c r="F2" s="3"/>
      <c r="G2" s="3"/>
      <c r="H2" s="3"/>
    </row>
    <row r="3" spans="2:8" s="69" customFormat="1" ht="15.75">
      <c r="B3" s="67" t="s">
        <v>214</v>
      </c>
      <c r="C3" s="68"/>
      <c r="D3" s="68"/>
      <c r="E3" s="68"/>
      <c r="F3" s="68"/>
      <c r="G3" s="68"/>
      <c r="H3" s="68"/>
    </row>
    <row r="4" s="69" customFormat="1" ht="15.75">
      <c r="B4" s="67" t="s">
        <v>263</v>
      </c>
    </row>
    <row r="5" s="69" customFormat="1" ht="15"/>
    <row r="6" spans="3:7" s="69" customFormat="1" ht="15.75">
      <c r="C6" s="70" t="s">
        <v>78</v>
      </c>
      <c r="D6" s="70"/>
      <c r="E6" s="70" t="s">
        <v>78</v>
      </c>
      <c r="F6" s="70"/>
      <c r="G6" s="70" t="s">
        <v>119</v>
      </c>
    </row>
    <row r="7" spans="3:7" s="69" customFormat="1" ht="15.75">
      <c r="C7" s="70" t="s">
        <v>79</v>
      </c>
      <c r="D7" s="70"/>
      <c r="E7" s="70" t="s">
        <v>79</v>
      </c>
      <c r="F7" s="70"/>
      <c r="G7" s="70" t="s">
        <v>79</v>
      </c>
    </row>
    <row r="8" spans="3:7" s="69" customFormat="1" ht="15.75">
      <c r="C8" s="70" t="e">
        <f>+'Income statement'!#REF!</f>
        <v>#REF!</v>
      </c>
      <c r="D8" s="70"/>
      <c r="E8" s="71" t="s">
        <v>261</v>
      </c>
      <c r="F8" s="70"/>
      <c r="G8" s="71" t="s">
        <v>264</v>
      </c>
    </row>
    <row r="9" spans="3:7" s="69" customFormat="1" ht="15.75">
      <c r="C9" s="68" t="s">
        <v>3</v>
      </c>
      <c r="D9" s="68"/>
      <c r="E9" s="68" t="s">
        <v>3</v>
      </c>
      <c r="F9" s="68"/>
      <c r="G9" s="68" t="s">
        <v>3</v>
      </c>
    </row>
    <row r="10" spans="3:7" s="69" customFormat="1" ht="15.75">
      <c r="C10" s="68"/>
      <c r="D10" s="68"/>
      <c r="E10" s="68"/>
      <c r="F10" s="68"/>
      <c r="G10" s="68"/>
    </row>
    <row r="11" spans="2:7" s="69" customFormat="1" ht="15.75">
      <c r="B11" s="67" t="s">
        <v>34</v>
      </c>
      <c r="C11" s="68"/>
      <c r="D11" s="68"/>
      <c r="E11" s="68"/>
      <c r="F11" s="68"/>
      <c r="G11" s="68"/>
    </row>
    <row r="12" spans="2:7" s="69" customFormat="1" ht="16.5" customHeight="1">
      <c r="B12" s="67" t="s">
        <v>35</v>
      </c>
      <c r="C12" s="105"/>
      <c r="D12" s="68"/>
      <c r="E12" s="68"/>
      <c r="F12" s="68"/>
      <c r="G12" s="68"/>
    </row>
    <row r="13" spans="2:8" s="69" customFormat="1" ht="16.5" customHeight="1">
      <c r="B13" s="72" t="s">
        <v>112</v>
      </c>
      <c r="C13" s="106">
        <f>'[3]1conso-YTD'!$N$65</f>
        <v>27678.76659</v>
      </c>
      <c r="D13" s="73"/>
      <c r="E13" s="106">
        <f>'[5]1conso-YTD (2)'!$W$70</f>
        <v>65230.18887747075</v>
      </c>
      <c r="F13" s="73"/>
      <c r="G13" s="106">
        <f>63197587/1000</f>
        <v>63197.587</v>
      </c>
      <c r="H13" s="74"/>
    </row>
    <row r="14" spans="2:8" s="69" customFormat="1" ht="16.5" customHeight="1">
      <c r="B14" s="72" t="s">
        <v>243</v>
      </c>
      <c r="C14" s="106"/>
      <c r="D14" s="73"/>
      <c r="E14" s="106">
        <f>'[5]1conso-YTD (2)'!$W$72</f>
        <v>11958.567</v>
      </c>
      <c r="F14" s="73"/>
      <c r="G14" s="179">
        <f>11958567/1000</f>
        <v>11958.567</v>
      </c>
      <c r="H14" s="74"/>
    </row>
    <row r="15" spans="2:8" s="69" customFormat="1" ht="16.5" customHeight="1">
      <c r="B15" s="72" t="s">
        <v>275</v>
      </c>
      <c r="C15" s="106"/>
      <c r="D15" s="73"/>
      <c r="E15" s="106">
        <v>1</v>
      </c>
      <c r="F15" s="73"/>
      <c r="G15" s="179">
        <v>1</v>
      </c>
      <c r="H15" s="74"/>
    </row>
    <row r="16" spans="2:8" s="69" customFormat="1" ht="16.5" customHeight="1">
      <c r="B16" s="72" t="s">
        <v>257</v>
      </c>
      <c r="C16" s="106"/>
      <c r="D16" s="73"/>
      <c r="E16" s="106">
        <f>'[5]1conso-YTD (2)'!$W$77-1</f>
        <v>708.6</v>
      </c>
      <c r="F16" s="73"/>
      <c r="G16" s="179">
        <f>709600/1000-1</f>
        <v>708.6</v>
      </c>
      <c r="H16" s="74"/>
    </row>
    <row r="17" spans="2:8" s="69" customFormat="1" ht="16.5" customHeight="1" thickBot="1">
      <c r="B17" s="72" t="s">
        <v>149</v>
      </c>
      <c r="C17" s="107">
        <f>'[3]1conso-YTD'!$N$71</f>
        <v>373.97199</v>
      </c>
      <c r="D17" s="73"/>
      <c r="E17" s="107">
        <f>'[5]1conso-YTD (2)'!$W$78</f>
        <v>373.969</v>
      </c>
      <c r="F17" s="73"/>
      <c r="G17" s="107">
        <f>373969/1000</f>
        <v>373.969</v>
      </c>
      <c r="H17" s="75"/>
    </row>
    <row r="18" spans="2:8" s="69" customFormat="1" ht="16.5" thickBot="1">
      <c r="B18" s="76"/>
      <c r="C18" s="107">
        <f>SUM(C13:C17)</f>
        <v>28052.738579999997</v>
      </c>
      <c r="D18" s="73"/>
      <c r="E18" s="114">
        <f>SUM(E13:E17)+1</f>
        <v>78273.32487747075</v>
      </c>
      <c r="F18" s="73"/>
      <c r="G18" s="107">
        <f>SUM(G13:G17)+1</f>
        <v>76240.723</v>
      </c>
      <c r="H18" s="75"/>
    </row>
    <row r="19" spans="2:8" s="69" customFormat="1" ht="15">
      <c r="B19" s="72"/>
      <c r="C19" s="108"/>
      <c r="D19" s="77"/>
      <c r="E19" s="108"/>
      <c r="F19" s="77"/>
      <c r="G19" s="108"/>
      <c r="H19" s="75"/>
    </row>
    <row r="20" spans="2:8" s="69" customFormat="1" ht="15">
      <c r="B20" s="72"/>
      <c r="C20" s="108"/>
      <c r="D20" s="77"/>
      <c r="E20" s="108"/>
      <c r="F20" s="77"/>
      <c r="G20" s="108"/>
      <c r="H20" s="75"/>
    </row>
    <row r="21" spans="2:8" s="69" customFormat="1" ht="15.75">
      <c r="B21" s="76" t="s">
        <v>4</v>
      </c>
      <c r="C21" s="108"/>
      <c r="D21" s="77"/>
      <c r="E21" s="108"/>
      <c r="F21" s="77"/>
      <c r="G21" s="108"/>
      <c r="H21" s="75"/>
    </row>
    <row r="22" spans="2:8" s="69" customFormat="1" ht="15">
      <c r="B22" s="75" t="s">
        <v>54</v>
      </c>
      <c r="C22" s="106">
        <f>'[3]1conso-YTD'!$N$75</f>
        <v>5239.74082</v>
      </c>
      <c r="D22" s="73"/>
      <c r="E22" s="106">
        <f>'[5]1conso-YTD (2)'!$W$83</f>
        <v>9272.30748</v>
      </c>
      <c r="F22" s="73"/>
      <c r="G22" s="106">
        <f>8350604/1000</f>
        <v>8350.604</v>
      </c>
      <c r="H22" s="75"/>
    </row>
    <row r="23" spans="2:8" s="69" customFormat="1" ht="15">
      <c r="B23" s="75" t="s">
        <v>53</v>
      </c>
      <c r="C23" s="106">
        <f>'[3]1conso-YTD'!$N$77</f>
        <v>17984.309699999994</v>
      </c>
      <c r="D23" s="73"/>
      <c r="E23" s="106">
        <f>'[5]1conso-YTD (2)'!$W$84</f>
        <v>14064.346199999998</v>
      </c>
      <c r="F23" s="73"/>
      <c r="G23" s="106">
        <f>10964899/1000</f>
        <v>10964.899</v>
      </c>
      <c r="H23" s="75"/>
    </row>
    <row r="24" spans="2:8" s="69" customFormat="1" ht="15">
      <c r="B24" s="75" t="s">
        <v>113</v>
      </c>
      <c r="C24" s="106">
        <f>'[3]1conso-YTD'!$N$78</f>
        <v>18688.837959999997</v>
      </c>
      <c r="D24" s="73"/>
      <c r="E24" s="106">
        <f>'[5]1conso-YTD (2)'!$W$91</f>
        <v>22068.021920814143</v>
      </c>
      <c r="F24" s="73"/>
      <c r="G24" s="106">
        <f>25509485/1000</f>
        <v>25509.485</v>
      </c>
      <c r="H24" s="75"/>
    </row>
    <row r="25" spans="2:8" s="69" customFormat="1" ht="15">
      <c r="B25" s="75" t="s">
        <v>244</v>
      </c>
      <c r="C25" s="106">
        <f>'[3]1conso-YTD'!$N$76</f>
        <v>199</v>
      </c>
      <c r="D25" s="73"/>
      <c r="E25" s="179">
        <f>'[5]1conso-YTD (2)'!$W$87</f>
        <v>3693.41858</v>
      </c>
      <c r="F25" s="73"/>
      <c r="G25" s="106">
        <f>6774661/1000</f>
        <v>6774.661</v>
      </c>
      <c r="H25" s="75"/>
    </row>
    <row r="26" spans="2:8" s="69" customFormat="1" ht="15">
      <c r="B26" s="75" t="s">
        <v>55</v>
      </c>
      <c r="C26" s="106">
        <f>'[3]1conso-YTD'!$N$80+'[3]1conso-YTD'!$N$81+750</f>
        <v>1382.37885</v>
      </c>
      <c r="D26" s="73"/>
      <c r="E26" s="106">
        <f>'[5]1conso-YTD (2)'!$W$88+'[5]1conso-YTD (2)'!$W$93+'[5]1conso-YTD (2)'!$W$94+'[5]1conso-YTD (2)'!$W$95</f>
        <v>2040.4882164395026</v>
      </c>
      <c r="F26" s="73"/>
      <c r="G26" s="106">
        <f>(617175+1983914)/1000</f>
        <v>2601.089</v>
      </c>
      <c r="H26" s="75"/>
    </row>
    <row r="27" spans="2:8" s="69" customFormat="1" ht="15">
      <c r="B27" s="75" t="s">
        <v>245</v>
      </c>
      <c r="C27" s="106"/>
      <c r="D27" s="73"/>
      <c r="E27" s="216">
        <f>'[5]1conso-YTD (2)'!$W$113</f>
        <v>5025.63804</v>
      </c>
      <c r="F27" s="73"/>
      <c r="G27" s="179">
        <f>7461675/1000</f>
        <v>7461.675</v>
      </c>
      <c r="H27" s="75"/>
    </row>
    <row r="28" spans="2:8" s="69" customFormat="1" ht="15">
      <c r="B28" s="75" t="s">
        <v>161</v>
      </c>
      <c r="C28" s="106">
        <f>'[3]1conso-YTD'!$N$82</f>
        <v>29349.86621</v>
      </c>
      <c r="D28" s="73"/>
      <c r="E28" s="106">
        <f>'[5]1conso-YTD (2)'!$W$110</f>
        <v>5621.97917</v>
      </c>
      <c r="F28" s="73"/>
      <c r="G28" s="106">
        <f>7178807/1000</f>
        <v>7178.807</v>
      </c>
      <c r="H28" s="75"/>
    </row>
    <row r="29" spans="2:8" s="69" customFormat="1" ht="15">
      <c r="B29" s="75" t="s">
        <v>246</v>
      </c>
      <c r="C29" s="106"/>
      <c r="D29" s="73"/>
      <c r="E29" s="106">
        <f>'[5]1conso-YTD (2)'!$W$111</f>
        <v>15005.53156</v>
      </c>
      <c r="F29" s="73"/>
      <c r="G29" s="106">
        <f>14857431/1000</f>
        <v>14857.431</v>
      </c>
      <c r="H29" s="75"/>
    </row>
    <row r="30" spans="2:8" s="69" customFormat="1" ht="15.75" thickBot="1">
      <c r="B30" s="75" t="s">
        <v>146</v>
      </c>
      <c r="C30" s="117">
        <f>'[3]1conso-YTD'!$N$83</f>
        <v>3943.64952</v>
      </c>
      <c r="D30" s="73"/>
      <c r="E30" s="106">
        <f>'[5]1conso-YTD (2)'!$W$112</f>
        <v>4531.235723488761</v>
      </c>
      <c r="F30" s="73"/>
      <c r="G30" s="106">
        <f>4714641/1000</f>
        <v>4714.641</v>
      </c>
      <c r="H30" s="75"/>
    </row>
    <row r="31" spans="2:8" s="69" customFormat="1" ht="15.75" thickBot="1">
      <c r="B31" s="72" t="s">
        <v>274</v>
      </c>
      <c r="C31" s="108"/>
      <c r="D31" s="77"/>
      <c r="E31" s="180">
        <f>'[5]1conso-YTD (2)'!$W$109</f>
        <v>1928.88656</v>
      </c>
      <c r="F31" s="77"/>
      <c r="G31" s="215">
        <f>1583055/1000</f>
        <v>1583.055</v>
      </c>
      <c r="H31" s="75"/>
    </row>
    <row r="32" spans="2:8" s="69" customFormat="1" ht="15.75" thickBot="1">
      <c r="B32" s="72"/>
      <c r="C32" s="107">
        <f>SUM(C22:C30)+0.5</f>
        <v>76788.28306</v>
      </c>
      <c r="D32" s="77"/>
      <c r="E32" s="114">
        <f>SUM(E22:E31)-1</f>
        <v>83250.85345074239</v>
      </c>
      <c r="F32" s="77"/>
      <c r="G32" s="107">
        <f>SUM(G22:G31)+1</f>
        <v>89997.347</v>
      </c>
      <c r="H32" s="75"/>
    </row>
    <row r="33" spans="2:8" s="69" customFormat="1" ht="15">
      <c r="B33" s="72"/>
      <c r="C33" s="108"/>
      <c r="D33" s="77"/>
      <c r="E33" s="108"/>
      <c r="F33" s="77"/>
      <c r="G33" s="108"/>
      <c r="H33" s="75"/>
    </row>
    <row r="34" spans="2:8" s="69" customFormat="1" ht="16.5" thickBot="1">
      <c r="B34" s="76" t="s">
        <v>36</v>
      </c>
      <c r="C34" s="109">
        <f>+C32+C18</f>
        <v>104841.02163999999</v>
      </c>
      <c r="D34" s="77"/>
      <c r="E34" s="109">
        <f>+E32+E18</f>
        <v>161524.17832821314</v>
      </c>
      <c r="F34" s="77"/>
      <c r="G34" s="109">
        <f>G18+G32</f>
        <v>166238.07</v>
      </c>
      <c r="H34" s="75"/>
    </row>
    <row r="35" spans="2:8" s="69" customFormat="1" ht="15.75" thickTop="1">
      <c r="B35" s="72"/>
      <c r="C35" s="108"/>
      <c r="D35" s="77"/>
      <c r="E35" s="108"/>
      <c r="F35" s="77"/>
      <c r="G35" s="108"/>
      <c r="H35" s="75"/>
    </row>
    <row r="36" spans="2:8" s="69" customFormat="1" ht="15.75">
      <c r="B36" s="76" t="s">
        <v>37</v>
      </c>
      <c r="C36" s="108"/>
      <c r="D36" s="77"/>
      <c r="E36" s="108"/>
      <c r="F36" s="77"/>
      <c r="G36" s="108"/>
      <c r="H36" s="75"/>
    </row>
    <row r="37" spans="2:8" s="69" customFormat="1" ht="15.75">
      <c r="B37" s="76" t="s">
        <v>56</v>
      </c>
      <c r="C37" s="108"/>
      <c r="D37" s="77"/>
      <c r="E37" s="108"/>
      <c r="F37" s="77"/>
      <c r="G37" s="108"/>
      <c r="H37" s="75"/>
    </row>
    <row r="38" spans="2:8" s="69" customFormat="1" ht="15">
      <c r="B38" s="75" t="s">
        <v>57</v>
      </c>
      <c r="C38" s="106">
        <f>'[3]1conso-YTD'!$N$95</f>
        <v>45000</v>
      </c>
      <c r="D38" s="73"/>
      <c r="E38" s="106">
        <f>'[5]1conso-YTD (2)'!$W$122</f>
        <v>79999.99999999999</v>
      </c>
      <c r="F38" s="73"/>
      <c r="G38" s="106">
        <f>80000000/1000</f>
        <v>80000</v>
      </c>
      <c r="H38" s="75"/>
    </row>
    <row r="39" spans="2:8" s="69" customFormat="1" ht="15">
      <c r="B39" s="75" t="s">
        <v>250</v>
      </c>
      <c r="C39" s="106"/>
      <c r="D39" s="73"/>
      <c r="E39" s="106">
        <f>'[5]1conso-YTD (2)'!$W$123</f>
        <v>-106.55544</v>
      </c>
      <c r="F39" s="73"/>
      <c r="G39" s="179">
        <f>-74370/1000</f>
        <v>-74.37</v>
      </c>
      <c r="H39" s="75"/>
    </row>
    <row r="40" spans="2:8" s="69" customFormat="1" ht="15.75" thickBot="1">
      <c r="B40" s="75" t="s">
        <v>114</v>
      </c>
      <c r="C40" s="107">
        <f>'[3]1conso-YTD'!$N$98+750</f>
        <v>12847.421649</v>
      </c>
      <c r="D40" s="73"/>
      <c r="E40" s="206">
        <f>'[5]1conso-YTD (2)'!$W$126+'[5]1conso-YTD (2)'!$W$127-1</f>
        <v>18080.67042931541</v>
      </c>
      <c r="F40" s="73"/>
      <c r="G40" s="107">
        <f>18647136/1000</f>
        <v>18647.136</v>
      </c>
      <c r="H40" s="75"/>
    </row>
    <row r="41" spans="2:8" s="69" customFormat="1" ht="15">
      <c r="B41" s="75" t="s">
        <v>151</v>
      </c>
      <c r="C41" s="135">
        <f>SUM(C38:C40)</f>
        <v>57847.421648999996</v>
      </c>
      <c r="D41" s="77"/>
      <c r="E41" s="207">
        <f>SUM(E38:E40)</f>
        <v>97974.11498931539</v>
      </c>
      <c r="F41" s="77"/>
      <c r="G41" s="135">
        <f>SUM(G38:G40)</f>
        <v>98572.766</v>
      </c>
      <c r="H41" s="75"/>
    </row>
    <row r="42" spans="2:8" s="69" customFormat="1" ht="15">
      <c r="B42" s="75" t="s">
        <v>152</v>
      </c>
      <c r="C42" s="106">
        <f>'[3]1conso-YTD'!$N$101</f>
        <v>-2.369579</v>
      </c>
      <c r="D42" s="73"/>
      <c r="E42" s="208">
        <f>'[5]1conso-YTD (2)'!$W$129</f>
        <v>-48.66843645200001</v>
      </c>
      <c r="F42" s="73"/>
      <c r="G42" s="179">
        <f>13504/1000</f>
        <v>13.504</v>
      </c>
      <c r="H42" s="75"/>
    </row>
    <row r="43" spans="2:8" s="69" customFormat="1" ht="15.75" thickBot="1">
      <c r="B43" s="75" t="s">
        <v>120</v>
      </c>
      <c r="C43" s="136">
        <f>SUM(C41:C42)</f>
        <v>57845.05207</v>
      </c>
      <c r="D43" s="77"/>
      <c r="E43" s="209">
        <f>SUM(E41:E42)</f>
        <v>97925.44655286339</v>
      </c>
      <c r="F43" s="77"/>
      <c r="G43" s="136">
        <f>SUM(G41:G42)+1</f>
        <v>98587.27</v>
      </c>
      <c r="H43" s="75"/>
    </row>
    <row r="44" spans="2:8" s="69" customFormat="1" ht="15.75">
      <c r="B44" s="78"/>
      <c r="C44" s="106"/>
      <c r="D44" s="77"/>
      <c r="E44" s="108"/>
      <c r="F44" s="77"/>
      <c r="G44" s="106"/>
      <c r="H44" s="75"/>
    </row>
    <row r="45" spans="2:8" s="69" customFormat="1" ht="15.75">
      <c r="B45" s="78" t="s">
        <v>38</v>
      </c>
      <c r="C45" s="106"/>
      <c r="D45" s="77"/>
      <c r="E45" s="108"/>
      <c r="F45" s="77"/>
      <c r="G45" s="106"/>
      <c r="H45" s="75"/>
    </row>
    <row r="46" spans="2:8" s="69" customFormat="1" ht="15">
      <c r="B46" s="75" t="s">
        <v>58</v>
      </c>
      <c r="C46" s="106">
        <f>'[3]1conso-YTD'!$N$106</f>
        <v>128</v>
      </c>
      <c r="D46" s="73"/>
      <c r="E46" s="106">
        <f>'[5]1conso-YTD (2)'!$W$134</f>
        <v>181.473</v>
      </c>
      <c r="F46" s="73"/>
      <c r="G46" s="106">
        <f>184808/1000</f>
        <v>184.808</v>
      </c>
      <c r="H46" s="75"/>
    </row>
    <row r="47" spans="2:8" s="69" customFormat="1" ht="15">
      <c r="B47" s="75" t="s">
        <v>115</v>
      </c>
      <c r="C47" s="106">
        <f>'[3]1conso-YTD'!$N$107-5000</f>
        <v>16845.727010000002</v>
      </c>
      <c r="D47" s="73"/>
      <c r="E47" s="106">
        <f>'[5]1conso-YTD (2)'!$W$135</f>
        <v>30637.33697</v>
      </c>
      <c r="F47" s="73"/>
      <c r="G47" s="106">
        <f>(8800024+16119332)/1000</f>
        <v>24919.356</v>
      </c>
      <c r="H47" s="75"/>
    </row>
    <row r="48" spans="2:8" s="69" customFormat="1" ht="15.75" thickBot="1">
      <c r="B48" s="75" t="s">
        <v>116</v>
      </c>
      <c r="C48" s="107">
        <f>'[3]1conso-YTD'!$N$108</f>
        <v>1143.5</v>
      </c>
      <c r="D48" s="73"/>
      <c r="E48" s="107">
        <f>'[5]1conso-YTD (2)'!$W$136</f>
        <v>1538</v>
      </c>
      <c r="F48" s="73"/>
      <c r="G48" s="107">
        <f>1538000/1000</f>
        <v>1538</v>
      </c>
      <c r="H48" s="75"/>
    </row>
    <row r="49" spans="2:8" s="69" customFormat="1" ht="16.5" thickBot="1">
      <c r="B49" s="78"/>
      <c r="C49" s="107">
        <f>SUM(C46:C48)</f>
        <v>18117.227010000002</v>
      </c>
      <c r="D49" s="77"/>
      <c r="E49" s="114">
        <f>SUM(E46:E48)</f>
        <v>32356.809970000002</v>
      </c>
      <c r="F49" s="77"/>
      <c r="G49" s="114">
        <f>SUM(G46:G48)</f>
        <v>26642.164</v>
      </c>
      <c r="H49" s="75"/>
    </row>
    <row r="50" spans="2:8" s="69" customFormat="1" ht="15.75">
      <c r="B50" s="78"/>
      <c r="C50" s="106"/>
      <c r="D50" s="77"/>
      <c r="E50" s="108"/>
      <c r="F50" s="77"/>
      <c r="G50" s="229"/>
      <c r="H50" s="75"/>
    </row>
    <row r="51" spans="2:8" s="69" customFormat="1" ht="15.75">
      <c r="B51" s="78" t="s">
        <v>39</v>
      </c>
      <c r="C51" s="108"/>
      <c r="D51" s="77"/>
      <c r="E51" s="108"/>
      <c r="F51" s="77"/>
      <c r="G51" s="230"/>
      <c r="H51" s="75"/>
    </row>
    <row r="52" spans="2:8" s="69" customFormat="1" ht="15">
      <c r="B52" s="72" t="s">
        <v>59</v>
      </c>
      <c r="C52" s="106">
        <f>'[3]1conso-YTD'!$N$111</f>
        <v>8518.03714</v>
      </c>
      <c r="D52" s="73"/>
      <c r="E52" s="106">
        <f>'[5]1conso-YTD (2)'!$W$142</f>
        <v>13350.885115329733</v>
      </c>
      <c r="F52" s="73"/>
      <c r="G52" s="106">
        <f>13243103/1000</f>
        <v>13243.103</v>
      </c>
      <c r="H52" s="75"/>
    </row>
    <row r="53" spans="2:8" s="69" customFormat="1" ht="15">
      <c r="B53" s="72" t="s">
        <v>117</v>
      </c>
      <c r="C53" s="106">
        <f>'[3]1conso-YTD'!$N$112</f>
        <v>2186.2584</v>
      </c>
      <c r="D53" s="73"/>
      <c r="E53" s="208">
        <f>'[5]1conso-YTD (2)'!$W$143+'[5]1conso-YTD (2)'!$W$144</f>
        <v>2467.17497</v>
      </c>
      <c r="F53" s="73"/>
      <c r="G53" s="106">
        <f>4377901/1000</f>
        <v>4377.901</v>
      </c>
      <c r="H53" s="75"/>
    </row>
    <row r="54" spans="2:8" s="69" customFormat="1" ht="15">
      <c r="B54" s="72" t="s">
        <v>58</v>
      </c>
      <c r="C54" s="106">
        <f>'[3]1conso-YTD'!$N$113</f>
        <v>311.98563</v>
      </c>
      <c r="D54" s="73"/>
      <c r="E54" s="106">
        <f>'[5]1conso-YTD (2)'!$W$153</f>
        <v>101.43590999999998</v>
      </c>
      <c r="F54" s="73"/>
      <c r="G54" s="106">
        <f>131429/1000</f>
        <v>131.429</v>
      </c>
      <c r="H54" s="75"/>
    </row>
    <row r="55" spans="2:8" s="69" customFormat="1" ht="15">
      <c r="B55" s="72" t="s">
        <v>60</v>
      </c>
      <c r="C55" s="106">
        <f>'[3]1conso-YTD'!$N$114+5000</f>
        <v>17328.22855</v>
      </c>
      <c r="D55" s="73"/>
      <c r="E55" s="106">
        <f>'[5]1conso-YTD (2)'!$W$154</f>
        <v>15279.85439</v>
      </c>
      <c r="F55" s="73"/>
      <c r="G55" s="106">
        <f>(8327437+7769000+4470621+198925+2490654)/1000</f>
        <v>23256.637</v>
      </c>
      <c r="H55" s="75"/>
    </row>
    <row r="56" spans="2:8" s="69" customFormat="1" ht="15.75" thickBot="1">
      <c r="B56" s="72" t="s">
        <v>61</v>
      </c>
      <c r="C56" s="106">
        <f>'[3]1conso-YTD'!$N$115</f>
        <v>1489.59725</v>
      </c>
      <c r="D56" s="73"/>
      <c r="E56" s="228">
        <f>'[5]1conso-YTD (2)'!$W$155</f>
        <v>42.45</v>
      </c>
      <c r="F56" s="73"/>
      <c r="G56" s="215">
        <v>0</v>
      </c>
      <c r="H56" s="75"/>
    </row>
    <row r="57" spans="2:8" s="69" customFormat="1" ht="15.75" thickBot="1">
      <c r="B57" s="75"/>
      <c r="C57" s="114">
        <f>SUM(C52:C56)</f>
        <v>29834.10697</v>
      </c>
      <c r="D57" s="77"/>
      <c r="E57" s="114">
        <f>SUM(E52:E56)</f>
        <v>31241.800385329734</v>
      </c>
      <c r="F57" s="77"/>
      <c r="G57" s="114">
        <f>SUM(G52:G56)</f>
        <v>41009.07</v>
      </c>
      <c r="H57" s="75"/>
    </row>
    <row r="58" spans="2:8" s="69" customFormat="1" ht="12.75" customHeight="1">
      <c r="B58" s="75"/>
      <c r="C58" s="108"/>
      <c r="D58" s="77"/>
      <c r="E58" s="108"/>
      <c r="F58" s="77"/>
      <c r="G58" s="108"/>
      <c r="H58" s="75"/>
    </row>
    <row r="59" spans="2:8" s="69" customFormat="1" ht="15.75">
      <c r="B59" s="78" t="s">
        <v>40</v>
      </c>
      <c r="C59" s="108">
        <f>+C57+C49</f>
        <v>47951.33398</v>
      </c>
      <c r="D59" s="77"/>
      <c r="E59" s="108">
        <f>+E57+E49</f>
        <v>63598.610355329736</v>
      </c>
      <c r="F59" s="77"/>
      <c r="G59" s="108">
        <f>G49+G57</f>
        <v>67651.234</v>
      </c>
      <c r="H59" s="75"/>
    </row>
    <row r="60" spans="3:8" s="69" customFormat="1" ht="12.75" customHeight="1">
      <c r="C60" s="108"/>
      <c r="D60" s="77"/>
      <c r="E60" s="108"/>
      <c r="F60" s="77"/>
      <c r="G60" s="230"/>
      <c r="H60" s="75"/>
    </row>
    <row r="61" spans="2:8" s="69" customFormat="1" ht="16.5" thickBot="1">
      <c r="B61" s="67" t="s">
        <v>41</v>
      </c>
      <c r="C61" s="109">
        <f>C59+C43</f>
        <v>105796.38605</v>
      </c>
      <c r="D61" s="70"/>
      <c r="E61" s="109">
        <f>E59+E43</f>
        <v>161524.05690819313</v>
      </c>
      <c r="F61" s="70"/>
      <c r="G61" s="109">
        <f>G43+G59-1</f>
        <v>166237.50400000002</v>
      </c>
      <c r="H61" s="75"/>
    </row>
    <row r="62" spans="2:8" s="69" customFormat="1" ht="16.5" thickTop="1">
      <c r="B62" s="67"/>
      <c r="C62" s="73"/>
      <c r="D62" s="77"/>
      <c r="E62" s="77"/>
      <c r="F62" s="77"/>
      <c r="G62" s="73"/>
      <c r="H62" s="75"/>
    </row>
    <row r="63" spans="2:8" s="69" customFormat="1" ht="15.75">
      <c r="B63" s="67"/>
      <c r="D63" s="73"/>
      <c r="E63" s="73"/>
      <c r="F63" s="73"/>
      <c r="G63" s="73"/>
      <c r="H63" s="75"/>
    </row>
    <row r="64" spans="2:8" s="69" customFormat="1" ht="15" hidden="1">
      <c r="B64" s="69" t="s">
        <v>6</v>
      </c>
      <c r="C64" s="79" t="e">
        <f>+(+#REF!-C19+#REF!)/43560</f>
        <v>#REF!</v>
      </c>
      <c r="D64" s="79"/>
      <c r="E64" s="79"/>
      <c r="F64" s="79"/>
      <c r="G64" s="79" t="e">
        <f>+(+#REF!-G19+#REF!)/43560</f>
        <v>#REF!</v>
      </c>
      <c r="H64" s="75"/>
    </row>
    <row r="65" spans="2:8" s="69" customFormat="1" ht="15">
      <c r="B65" s="248" t="s">
        <v>129</v>
      </c>
      <c r="C65" s="79"/>
      <c r="D65" s="79"/>
      <c r="E65" s="79"/>
      <c r="F65" s="79"/>
      <c r="G65" s="79"/>
      <c r="H65" s="75"/>
    </row>
    <row r="66" spans="2:8" s="69" customFormat="1" ht="15">
      <c r="B66" s="248"/>
      <c r="C66" s="79">
        <f>+C41/90000</f>
        <v>0.6427491294333333</v>
      </c>
      <c r="D66" s="79"/>
      <c r="E66" s="79">
        <f>+E41/160000</f>
        <v>0.6123382186832212</v>
      </c>
      <c r="F66" s="79"/>
      <c r="G66" s="79">
        <f>G41/160000</f>
        <v>0.6160797875</v>
      </c>
      <c r="H66" s="75"/>
    </row>
    <row r="67" s="69" customFormat="1" ht="9.75" customHeight="1">
      <c r="B67" s="80"/>
    </row>
    <row r="68" spans="1:11" s="69" customFormat="1" ht="15">
      <c r="A68" s="81" t="s">
        <v>125</v>
      </c>
      <c r="B68" s="69" t="s">
        <v>215</v>
      </c>
      <c r="C68" s="82"/>
      <c r="D68" s="82"/>
      <c r="E68" s="82"/>
      <c r="F68" s="82"/>
      <c r="G68" s="82"/>
      <c r="H68" s="82"/>
      <c r="I68" s="82"/>
      <c r="J68" s="82"/>
      <c r="K68" s="82"/>
    </row>
    <row r="69" spans="2:11" s="69" customFormat="1" ht="15">
      <c r="B69" s="69" t="s">
        <v>265</v>
      </c>
      <c r="C69" s="82"/>
      <c r="D69" s="82"/>
      <c r="E69" s="82"/>
      <c r="F69" s="82"/>
      <c r="G69" s="82"/>
      <c r="H69" s="82"/>
      <c r="I69" s="82"/>
      <c r="J69" s="82"/>
      <c r="K69" s="82"/>
    </row>
    <row r="70" spans="2:11" s="69" customFormat="1" ht="15">
      <c r="B70" s="75"/>
      <c r="C70" s="82"/>
      <c r="D70" s="82"/>
      <c r="E70" s="82"/>
      <c r="F70" s="82"/>
      <c r="G70" s="82"/>
      <c r="H70" s="82"/>
      <c r="I70" s="82"/>
      <c r="J70" s="82"/>
      <c r="K70" s="82"/>
    </row>
    <row r="71" spans="1:9" s="69" customFormat="1" ht="15">
      <c r="A71" s="81" t="s">
        <v>126</v>
      </c>
      <c r="B71" s="69" t="s">
        <v>130</v>
      </c>
      <c r="C71" s="83"/>
      <c r="D71" s="83"/>
      <c r="E71" s="83"/>
      <c r="F71" s="83"/>
      <c r="G71" s="83"/>
      <c r="H71" s="83"/>
      <c r="I71" s="83"/>
    </row>
    <row r="72" spans="2:9" s="69" customFormat="1" ht="15">
      <c r="B72" s="84" t="s">
        <v>240</v>
      </c>
      <c r="C72" s="83"/>
      <c r="D72" s="83"/>
      <c r="E72" s="83"/>
      <c r="F72" s="83"/>
      <c r="G72" s="83"/>
      <c r="H72" s="83"/>
      <c r="I72" s="83"/>
    </row>
    <row r="73" spans="2:9" ht="12.75">
      <c r="B73" s="38"/>
      <c r="C73" s="11"/>
      <c r="D73" s="38"/>
      <c r="E73" s="38"/>
      <c r="F73" s="38"/>
      <c r="G73" s="38"/>
      <c r="H73" s="38"/>
      <c r="I73" s="38"/>
    </row>
    <row r="77" ht="12.75">
      <c r="C77" s="131"/>
    </row>
  </sheetData>
  <sheetProtection/>
  <mergeCells count="2">
    <mergeCell ref="B1:H1"/>
    <mergeCell ref="B65:B66"/>
  </mergeCells>
  <printOptions gridLines="1"/>
  <pageMargins left="0.36" right="0.17" top="0.3" bottom="0.2" header="0.22" footer="0.1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zoomScalePageLayoutView="0" workbookViewId="0" topLeftCell="A13">
      <selection activeCell="C39" sqref="C39"/>
    </sheetView>
  </sheetViews>
  <sheetFormatPr defaultColWidth="9.140625" defaultRowHeight="12.75"/>
  <cols>
    <col min="1" max="1" width="3.140625" style="90" customWidth="1"/>
    <col min="2" max="2" width="43.57421875" style="90" customWidth="1"/>
    <col min="3" max="8" width="18.7109375" style="90" customWidth="1"/>
    <col min="9" max="9" width="22.7109375" style="90" customWidth="1"/>
    <col min="10" max="10" width="18.7109375" style="90" customWidth="1"/>
    <col min="11" max="16384" width="9.140625" style="90" customWidth="1"/>
  </cols>
  <sheetData>
    <row r="1" ht="20.25">
      <c r="B1" s="89" t="str">
        <f>+'Income statement'!B1</f>
        <v>HANDAL RESOURCES  BERHAD (816839-X)</v>
      </c>
    </row>
    <row r="2" ht="15" customHeight="1"/>
    <row r="3" s="92" customFormat="1" ht="15">
      <c r="B3" s="91" t="s">
        <v>86</v>
      </c>
    </row>
    <row r="4" s="92" customFormat="1" ht="15" customHeight="1">
      <c r="B4" s="16" t="s">
        <v>262</v>
      </c>
    </row>
    <row r="5" s="92" customFormat="1" ht="15">
      <c r="B5" s="91"/>
    </row>
    <row r="6" s="92" customFormat="1" ht="15.75" thickBot="1">
      <c r="B6" s="91"/>
    </row>
    <row r="7" spans="3:10" s="92" customFormat="1" ht="20.25" customHeight="1" thickBot="1">
      <c r="C7" s="249" t="s">
        <v>121</v>
      </c>
      <c r="D7" s="250"/>
      <c r="E7" s="250"/>
      <c r="F7" s="250"/>
      <c r="G7" s="250"/>
      <c r="H7" s="250"/>
      <c r="I7" s="250"/>
      <c r="J7" s="251"/>
    </row>
    <row r="8" s="92" customFormat="1" ht="12.75" customHeight="1" hidden="1"/>
    <row r="9" s="92" customFormat="1" ht="12.75" customHeight="1" hidden="1"/>
    <row r="10" spans="3:10" s="92" customFormat="1" ht="15" customHeight="1">
      <c r="C10" s="93"/>
      <c r="D10" s="93"/>
      <c r="E10" s="93"/>
      <c r="F10" s="93"/>
      <c r="G10" s="93"/>
      <c r="H10" s="93"/>
      <c r="I10" s="88"/>
      <c r="J10" s="93"/>
    </row>
    <row r="11" spans="3:10" s="92" customFormat="1" ht="15" customHeight="1">
      <c r="C11" s="93"/>
      <c r="D11" s="93"/>
      <c r="E11" s="93"/>
      <c r="F11" s="93"/>
      <c r="G11" s="93"/>
      <c r="H11" s="93"/>
      <c r="I11" s="100"/>
      <c r="J11" s="100"/>
    </row>
    <row r="12" spans="3:10" s="92" customFormat="1" ht="15" customHeight="1">
      <c r="C12" s="93" t="s">
        <v>5</v>
      </c>
      <c r="D12" s="93" t="s">
        <v>254</v>
      </c>
      <c r="E12" s="93" t="s">
        <v>10</v>
      </c>
      <c r="F12" s="93" t="s">
        <v>247</v>
      </c>
      <c r="G12" s="101" t="s">
        <v>11</v>
      </c>
      <c r="H12" s="93" t="s">
        <v>151</v>
      </c>
      <c r="I12" s="101" t="s">
        <v>213</v>
      </c>
      <c r="J12" s="101" t="s">
        <v>62</v>
      </c>
    </row>
    <row r="13" spans="3:10" s="92" customFormat="1" ht="15" customHeight="1">
      <c r="C13" s="93"/>
      <c r="D13" s="93"/>
      <c r="E13" s="93"/>
      <c r="F13" s="93"/>
      <c r="G13" s="100"/>
      <c r="H13" s="93"/>
      <c r="I13" s="100"/>
      <c r="J13" s="100"/>
    </row>
    <row r="14" spans="3:10" s="92" customFormat="1" ht="15" customHeight="1"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0</v>
      </c>
      <c r="I14" s="93" t="s">
        <v>0</v>
      </c>
      <c r="J14" s="93" t="s">
        <v>3</v>
      </c>
    </row>
    <row r="15" spans="3:10" s="92" customFormat="1" ht="15" customHeight="1">
      <c r="C15" s="93"/>
      <c r="D15" s="93"/>
      <c r="E15" s="93"/>
      <c r="F15" s="93"/>
      <c r="G15" s="93"/>
      <c r="H15" s="93"/>
      <c r="I15" s="93"/>
      <c r="J15" s="93"/>
    </row>
    <row r="16" spans="2:10" s="92" customFormat="1" ht="15" customHeight="1">
      <c r="B16" s="91" t="s">
        <v>267</v>
      </c>
      <c r="C16" s="110">
        <f>80000000/1000</f>
        <v>80000</v>
      </c>
      <c r="D16" s="110">
        <f>-74370/1000</f>
        <v>-74.37</v>
      </c>
      <c r="E16" s="110">
        <v>0</v>
      </c>
      <c r="F16" s="110">
        <f>2660000/1000</f>
        <v>2660</v>
      </c>
      <c r="G16" s="110">
        <f>15986671/1000</f>
        <v>15986.671</v>
      </c>
      <c r="H16" s="110">
        <f>SUM(C16:G16)</f>
        <v>98572.301</v>
      </c>
      <c r="I16" s="110">
        <f>13504/1000-1</f>
        <v>12.504</v>
      </c>
      <c r="J16" s="110">
        <f>SUM(H16:I16)+1</f>
        <v>98585.80500000001</v>
      </c>
    </row>
    <row r="17" spans="2:10" s="92" customFormat="1" ht="15" customHeight="1">
      <c r="B17" s="91"/>
      <c r="C17" s="110"/>
      <c r="D17" s="110"/>
      <c r="E17" s="110"/>
      <c r="F17" s="110"/>
      <c r="G17" s="110"/>
      <c r="H17" s="110"/>
      <c r="I17" s="110"/>
      <c r="J17" s="110"/>
    </row>
    <row r="18" spans="2:10" s="92" customFormat="1" ht="15" customHeight="1">
      <c r="B18" s="92" t="s">
        <v>268</v>
      </c>
      <c r="C18" s="110">
        <v>0</v>
      </c>
      <c r="D18" s="213">
        <f>-32185.3/1000</f>
        <v>-32.1853</v>
      </c>
      <c r="E18" s="110">
        <v>0</v>
      </c>
      <c r="F18" s="110">
        <v>0</v>
      </c>
      <c r="G18" s="110">
        <v>0</v>
      </c>
      <c r="H18" s="110">
        <f>SUM(C18:G18)</f>
        <v>-32.1853</v>
      </c>
      <c r="I18" s="110">
        <v>0</v>
      </c>
      <c r="J18" s="110">
        <f>SUM(H18:I18)</f>
        <v>-32.1853</v>
      </c>
    </row>
    <row r="19" spans="3:10" s="92" customFormat="1" ht="15" customHeight="1">
      <c r="C19" s="110"/>
      <c r="D19" s="110"/>
      <c r="E19" s="110"/>
      <c r="F19" s="110"/>
      <c r="G19" s="110"/>
      <c r="H19" s="110"/>
      <c r="I19" s="110"/>
      <c r="J19" s="110"/>
    </row>
    <row r="20" spans="2:10" s="92" customFormat="1" ht="15" customHeight="1">
      <c r="B20" s="92" t="s">
        <v>235</v>
      </c>
      <c r="C20" s="110">
        <v>0</v>
      </c>
      <c r="D20" s="110">
        <v>0</v>
      </c>
      <c r="E20" s="213">
        <v>0</v>
      </c>
      <c r="F20" s="213">
        <v>0</v>
      </c>
      <c r="G20" s="213">
        <f>-565</f>
        <v>-565</v>
      </c>
      <c r="H20" s="213">
        <f>SUM(C20:G20)</f>
        <v>-565</v>
      </c>
      <c r="I20" s="213">
        <v>-62</v>
      </c>
      <c r="J20" s="213">
        <f>SUM(H20:I20)</f>
        <v>-627</v>
      </c>
    </row>
    <row r="21" spans="3:10" s="92" customFormat="1" ht="15" customHeight="1">
      <c r="C21" s="94"/>
      <c r="D21" s="94"/>
      <c r="E21" s="210"/>
      <c r="F21" s="210"/>
      <c r="G21" s="210"/>
      <c r="H21" s="210"/>
      <c r="I21" s="210"/>
      <c r="J21" s="210"/>
    </row>
    <row r="22" spans="2:11" s="92" customFormat="1" ht="15" customHeight="1" thickBot="1">
      <c r="B22" s="91" t="s">
        <v>276</v>
      </c>
      <c r="C22" s="95">
        <f aca="true" t="shared" si="0" ref="C22:I22">SUM(C16:C21)</f>
        <v>80000</v>
      </c>
      <c r="D22" s="95">
        <f t="shared" si="0"/>
        <v>-106.5553</v>
      </c>
      <c r="E22" s="211">
        <f t="shared" si="0"/>
        <v>0</v>
      </c>
      <c r="F22" s="95">
        <f t="shared" si="0"/>
        <v>2660</v>
      </c>
      <c r="G22" s="211">
        <f>SUM(G16:G21)-1</f>
        <v>15420.671</v>
      </c>
      <c r="H22" s="211">
        <f>SUM(H16:H21)-1</f>
        <v>97974.11570000001</v>
      </c>
      <c r="I22" s="211">
        <f t="shared" si="0"/>
        <v>-49.496</v>
      </c>
      <c r="J22" s="211">
        <f>SUM(J16:J21)-2</f>
        <v>97924.61970000001</v>
      </c>
      <c r="K22" s="96"/>
    </row>
    <row r="23" spans="3:10" s="92" customFormat="1" ht="15" customHeight="1" thickTop="1">
      <c r="C23" s="97"/>
      <c r="D23" s="97"/>
      <c r="E23" s="212"/>
      <c r="F23" s="212"/>
      <c r="G23" s="212"/>
      <c r="H23" s="212"/>
      <c r="I23" s="212"/>
      <c r="J23" s="212"/>
    </row>
    <row r="24" spans="3:16" s="92" customFormat="1" ht="15" customHeight="1">
      <c r="C24" s="97"/>
      <c r="D24" s="97"/>
      <c r="E24" s="97"/>
      <c r="F24" s="97"/>
      <c r="G24" s="97"/>
      <c r="H24" s="97"/>
      <c r="I24" s="97"/>
      <c r="J24" s="96"/>
      <c r="P24" s="97"/>
    </row>
    <row r="25" spans="2:16" s="92" customFormat="1" ht="15" customHeight="1" hidden="1">
      <c r="B25" s="92" t="s">
        <v>118</v>
      </c>
      <c r="C25" s="97"/>
      <c r="D25" s="97"/>
      <c r="E25" s="97"/>
      <c r="F25" s="97"/>
      <c r="G25" s="97"/>
      <c r="H25" s="97"/>
      <c r="I25" s="97"/>
      <c r="K25" s="98"/>
      <c r="M25" s="98"/>
      <c r="O25" s="98"/>
      <c r="P25" s="97"/>
    </row>
    <row r="26" spans="2:15" s="92" customFormat="1" ht="15" customHeight="1" hidden="1">
      <c r="B26" s="98"/>
      <c r="C26" s="97"/>
      <c r="D26" s="97"/>
      <c r="E26" s="97"/>
      <c r="F26" s="97"/>
      <c r="G26" s="97"/>
      <c r="H26" s="97"/>
      <c r="I26" s="97"/>
      <c r="J26" s="97"/>
      <c r="K26" s="98"/>
      <c r="M26" s="98"/>
      <c r="N26" s="98"/>
      <c r="O26" s="98"/>
    </row>
    <row r="27" spans="2:12" ht="14.25" hidden="1">
      <c r="B27" s="99"/>
      <c r="C27" s="99"/>
      <c r="D27" s="99"/>
      <c r="E27" s="99"/>
      <c r="F27" s="99"/>
      <c r="G27" s="99"/>
      <c r="H27" s="99"/>
      <c r="I27" s="99"/>
      <c r="L27" s="92"/>
    </row>
    <row r="28" spans="2:12" ht="14.25" hidden="1">
      <c r="B28" s="127" t="s">
        <v>147</v>
      </c>
      <c r="C28" s="99"/>
      <c r="D28" s="99"/>
      <c r="E28" s="99"/>
      <c r="F28" s="99"/>
      <c r="G28" s="99"/>
      <c r="H28" s="99"/>
      <c r="I28" s="99"/>
      <c r="L28" s="92"/>
    </row>
    <row r="29" spans="2:12" ht="14.25" hidden="1">
      <c r="B29" s="125" t="s">
        <v>150</v>
      </c>
      <c r="C29" s="126"/>
      <c r="D29" s="126"/>
      <c r="E29" s="126"/>
      <c r="F29" s="126"/>
      <c r="G29" s="126"/>
      <c r="H29" s="126"/>
      <c r="I29" s="126"/>
      <c r="L29" s="92"/>
    </row>
    <row r="30" spans="2:9" ht="14.25" hidden="1">
      <c r="B30" s="92" t="s">
        <v>148</v>
      </c>
      <c r="C30" s="92"/>
      <c r="D30" s="92"/>
      <c r="E30" s="92"/>
      <c r="F30" s="92"/>
      <c r="G30" s="92"/>
      <c r="H30" s="92"/>
      <c r="I30" s="92"/>
    </row>
    <row r="31" spans="2:9" ht="14.25">
      <c r="B31" s="92"/>
      <c r="C31" s="92"/>
      <c r="D31" s="92"/>
      <c r="E31" s="92"/>
      <c r="F31" s="92"/>
      <c r="G31" s="92"/>
      <c r="H31" s="92"/>
      <c r="I31" s="92"/>
    </row>
    <row r="32" spans="2:9" ht="14.25">
      <c r="B32" s="92" t="s">
        <v>222</v>
      </c>
      <c r="C32" s="92"/>
      <c r="D32" s="92"/>
      <c r="E32" s="92"/>
      <c r="F32" s="92"/>
      <c r="G32" s="92"/>
      <c r="H32" s="92"/>
      <c r="I32" s="92"/>
    </row>
    <row r="33" spans="2:9" ht="14.25">
      <c r="B33" s="92" t="s">
        <v>265</v>
      </c>
      <c r="C33" s="92"/>
      <c r="D33" s="92"/>
      <c r="E33" s="92"/>
      <c r="F33" s="92"/>
      <c r="G33" s="92"/>
      <c r="H33" s="92"/>
      <c r="I33" s="92"/>
    </row>
    <row r="34" ht="14.25">
      <c r="B34" s="98" t="s">
        <v>99</v>
      </c>
    </row>
    <row r="35" ht="14.25">
      <c r="B35" s="92" t="s">
        <v>278</v>
      </c>
    </row>
    <row r="36" ht="14.25">
      <c r="B36" s="92" t="s">
        <v>277</v>
      </c>
    </row>
  </sheetData>
  <sheetProtection/>
  <mergeCells count="1">
    <mergeCell ref="C7:J7"/>
  </mergeCells>
  <printOptions gridLines="1"/>
  <pageMargins left="0.24" right="0.17" top="0.58" bottom="0.17" header="0.29" footer="0.1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87</v>
      </c>
      <c r="B3" s="12"/>
      <c r="C3" s="12"/>
      <c r="D3" s="12"/>
      <c r="E3" s="12"/>
      <c r="F3" s="12"/>
    </row>
    <row r="4" spans="1:6" ht="15" customHeight="1">
      <c r="A4" s="2" t="s">
        <v>84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25</v>
      </c>
    </row>
    <row r="6" spans="1:6" ht="15" customHeight="1">
      <c r="A6" s="2"/>
      <c r="B6" s="12"/>
      <c r="C6" s="12"/>
      <c r="D6" s="5" t="s">
        <v>13</v>
      </c>
      <c r="E6" s="12"/>
      <c r="F6" s="5" t="s">
        <v>26</v>
      </c>
    </row>
    <row r="7" spans="1:6" ht="15" customHeight="1">
      <c r="A7" s="2"/>
      <c r="B7" s="12"/>
      <c r="C7" s="12"/>
      <c r="D7" s="5" t="s">
        <v>12</v>
      </c>
      <c r="E7" s="12"/>
      <c r="F7" s="5" t="s">
        <v>98</v>
      </c>
    </row>
    <row r="8" spans="1:6" ht="15" customHeight="1">
      <c r="A8" s="2"/>
      <c r="B8" s="12"/>
      <c r="C8" s="12"/>
      <c r="D8" s="5" t="str">
        <f>'Income statement'!P13</f>
        <v>31 March 2013</v>
      </c>
      <c r="E8" s="12"/>
      <c r="F8" s="5" t="str">
        <f>'Income statement'!Q13</f>
        <v>31 March 2012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63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65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64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66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68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67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102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88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89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103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104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69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97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105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70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44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71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106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72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90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73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74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75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107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76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91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77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92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108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109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110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252" t="s">
        <v>100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252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252" t="s">
        <v>101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252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96</v>
      </c>
      <c r="B70" s="12"/>
      <c r="C70" s="12"/>
      <c r="D70" s="12"/>
      <c r="E70" s="28"/>
      <c r="F70" s="12"/>
    </row>
    <row r="71" spans="1:6" ht="14.25">
      <c r="A71" s="12" t="s">
        <v>81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82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83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93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94</v>
      </c>
    </row>
    <row r="80" ht="12.75">
      <c r="A80" s="43" t="s">
        <v>52</v>
      </c>
    </row>
    <row r="81" ht="12.75">
      <c r="A81" s="43" t="s">
        <v>95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255" t="s">
        <v>18</v>
      </c>
      <c r="D6" s="256"/>
      <c r="E6" s="255" t="s">
        <v>19</v>
      </c>
      <c r="F6" s="256"/>
      <c r="H6" s="7"/>
    </row>
    <row r="7" spans="3:6" ht="12.75">
      <c r="C7" s="257" t="s">
        <v>20</v>
      </c>
      <c r="D7" s="257" t="s">
        <v>21</v>
      </c>
      <c r="E7" s="257" t="s">
        <v>23</v>
      </c>
      <c r="F7" s="257" t="s">
        <v>22</v>
      </c>
    </row>
    <row r="8" spans="3:6" ht="12.75">
      <c r="C8" s="257"/>
      <c r="D8" s="257"/>
      <c r="E8" s="257"/>
      <c r="F8" s="257"/>
    </row>
    <row r="9" spans="3:6" ht="12.75">
      <c r="C9" s="257"/>
      <c r="D9" s="257"/>
      <c r="E9" s="257"/>
      <c r="F9" s="257"/>
    </row>
    <row r="10" spans="3:6" ht="12.75">
      <c r="C10" s="5" t="e">
        <f>+'Income statement'!#REF!</f>
        <v>#REF!</v>
      </c>
      <c r="D10" s="5" t="e">
        <f>+'Income statement'!#REF!</f>
        <v>#REF!</v>
      </c>
      <c r="E10" s="5" t="e">
        <f>+C10</f>
        <v>#REF!</v>
      </c>
      <c r="F10" s="5" t="e">
        <f>+D10</f>
        <v>#REF!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 t="e">
        <f>+'Income statement'!#REF!</f>
        <v>#REF!</v>
      </c>
      <c r="D14" s="9" t="e">
        <f>+'Income statement'!#REF!</f>
        <v>#REF!</v>
      </c>
      <c r="E14" s="9">
        <f>+'Income statement'!P16</f>
        <v>19740.616523859215</v>
      </c>
      <c r="F14" s="9">
        <f>+'Income statement'!Q16</f>
        <v>19782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42</v>
      </c>
      <c r="C16" s="9" t="e">
        <f>+'Income statement'!#REF!</f>
        <v>#REF!</v>
      </c>
      <c r="D16" s="9" t="e">
        <f>+'Income statement'!#REF!</f>
        <v>#REF!</v>
      </c>
      <c r="E16" s="9">
        <f>+'Income statement'!P30</f>
        <v>-627.3810874024321</v>
      </c>
      <c r="F16" s="9">
        <f>+'Income statement'!Q30</f>
        <v>2495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253" t="s">
        <v>49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253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45</v>
      </c>
      <c r="C21" s="9" t="e">
        <f>+'Income statement'!#REF!</f>
        <v>#REF!</v>
      </c>
      <c r="D21" s="9" t="e">
        <f>+'Income statement'!#REF!</f>
        <v>#REF!</v>
      </c>
      <c r="E21" s="9" t="e">
        <f>+'Income statement'!#REF!</f>
        <v>#REF!</v>
      </c>
      <c r="F21" s="9" t="e">
        <f>+'Income statement'!#REF!</f>
        <v>#REF!</v>
      </c>
    </row>
    <row r="22" spans="1:6" ht="12.75">
      <c r="A22" s="1"/>
      <c r="B22" t="s">
        <v>46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43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47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27</v>
      </c>
      <c r="F30" s="4" t="s">
        <v>29</v>
      </c>
    </row>
    <row r="31" spans="3:6" ht="12.75">
      <c r="C31" s="9"/>
      <c r="D31" s="9"/>
      <c r="E31" s="4" t="s">
        <v>28</v>
      </c>
      <c r="F31" s="4" t="s">
        <v>30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254" t="s">
        <v>48</v>
      </c>
      <c r="C33" s="9"/>
      <c r="D33" s="9"/>
      <c r="E33" s="10">
        <f>+'balance sheet'!C66</f>
        <v>0.6427491294333333</v>
      </c>
      <c r="F33" s="10">
        <f>+'balance sheet'!G66</f>
        <v>0.6160797875</v>
      </c>
    </row>
    <row r="34" spans="2:6" ht="12.75">
      <c r="B34" s="254"/>
      <c r="C34" s="9"/>
      <c r="D34" s="9"/>
      <c r="E34" s="9"/>
      <c r="F34" s="9"/>
    </row>
    <row r="35" spans="2:6" ht="12.75">
      <c r="B35" s="254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53" customWidth="1"/>
    <col min="4" max="4" width="17.8515625" style="153" customWidth="1"/>
    <col min="5" max="5" width="11.00390625" style="0" customWidth="1"/>
  </cols>
  <sheetData>
    <row r="1" ht="15">
      <c r="B1" s="16" t="s">
        <v>171</v>
      </c>
    </row>
    <row r="2" ht="15">
      <c r="B2" s="16" t="s">
        <v>172</v>
      </c>
    </row>
    <row r="3" ht="15">
      <c r="B3" s="16" t="s">
        <v>173</v>
      </c>
    </row>
    <row r="4" ht="15">
      <c r="B4" s="16"/>
    </row>
    <row r="5" ht="15">
      <c r="B5" s="16" t="s">
        <v>174</v>
      </c>
    </row>
    <row r="6" ht="15">
      <c r="B6" s="16" t="s">
        <v>175</v>
      </c>
    </row>
    <row r="7" ht="14.25">
      <c r="B7" s="150"/>
    </row>
    <row r="8" spans="2:4" ht="15">
      <c r="B8" s="24"/>
      <c r="C8" s="17" t="s">
        <v>176</v>
      </c>
      <c r="D8" s="17">
        <v>2009</v>
      </c>
    </row>
    <row r="9" spans="2:4" ht="15">
      <c r="B9" s="24"/>
      <c r="C9" s="17"/>
      <c r="D9" s="17" t="s">
        <v>177</v>
      </c>
    </row>
    <row r="10" spans="2:4" ht="14.25">
      <c r="B10" s="20"/>
      <c r="C10" s="19"/>
      <c r="D10" s="19"/>
    </row>
    <row r="11" spans="2:4" ht="14.25">
      <c r="B11" s="20" t="s">
        <v>63</v>
      </c>
      <c r="C11" s="19"/>
      <c r="D11" s="19"/>
    </row>
    <row r="12" spans="2:4" ht="14.25">
      <c r="B12" s="20" t="s">
        <v>2</v>
      </c>
      <c r="C12" s="19"/>
      <c r="D12" s="155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64</v>
      </c>
      <c r="C16" s="19"/>
      <c r="D16" s="155">
        <v>1410509</v>
      </c>
    </row>
    <row r="17" spans="2:4" ht="14.25">
      <c r="B17" s="20" t="s">
        <v>65</v>
      </c>
      <c r="C17" s="19"/>
      <c r="D17" s="155">
        <v>968612</v>
      </c>
    </row>
    <row r="18" spans="2:4" ht="14.25">
      <c r="B18" s="20" t="s">
        <v>178</v>
      </c>
      <c r="C18" s="19"/>
      <c r="D18" s="155">
        <v>48152</v>
      </c>
    </row>
    <row r="19" spans="2:4" ht="14.25">
      <c r="B19" s="20" t="s">
        <v>66</v>
      </c>
      <c r="C19" s="19"/>
      <c r="D19" s="155">
        <v>29548</v>
      </c>
    </row>
    <row r="20" spans="2:4" ht="14.25">
      <c r="B20" s="20" t="s">
        <v>179</v>
      </c>
      <c r="C20" s="19"/>
      <c r="D20" s="155">
        <v>-38068</v>
      </c>
    </row>
    <row r="21" spans="2:4" ht="14.25">
      <c r="B21" s="20" t="s">
        <v>67</v>
      </c>
      <c r="C21" s="19"/>
      <c r="D21" s="155">
        <v>-381336</v>
      </c>
    </row>
    <row r="22" spans="2:5" ht="15" thickBot="1">
      <c r="B22" s="20" t="s">
        <v>180</v>
      </c>
      <c r="C22" s="19"/>
      <c r="D22" s="156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55">
        <v>14683053</v>
      </c>
    </row>
    <row r="25" spans="2:4" ht="14.25">
      <c r="B25" s="20"/>
      <c r="C25" s="19"/>
      <c r="D25" s="19"/>
    </row>
    <row r="26" spans="2:4" ht="14.25">
      <c r="B26" s="24" t="s">
        <v>181</v>
      </c>
      <c r="C26" s="19"/>
      <c r="D26" s="155">
        <v>1005378</v>
      </c>
    </row>
    <row r="27" spans="2:4" ht="14.25">
      <c r="B27" s="24" t="s">
        <v>182</v>
      </c>
      <c r="C27" s="19"/>
      <c r="D27" s="155">
        <v>2638376</v>
      </c>
    </row>
    <row r="28" spans="2:4" ht="14.25">
      <c r="B28" s="20" t="s">
        <v>142</v>
      </c>
      <c r="C28" s="19"/>
      <c r="D28" s="155">
        <v>-3186200</v>
      </c>
    </row>
    <row r="29" spans="2:4" ht="28.5">
      <c r="B29" s="20" t="s">
        <v>183</v>
      </c>
      <c r="C29" s="19"/>
      <c r="D29" s="155">
        <v>-1774921</v>
      </c>
    </row>
    <row r="30" spans="2:4" ht="28.5">
      <c r="B30" s="20" t="s">
        <v>131</v>
      </c>
      <c r="C30" s="19"/>
      <c r="D30" s="155">
        <v>1373389</v>
      </c>
    </row>
    <row r="31" spans="2:4" ht="14.25">
      <c r="B31" s="20" t="s">
        <v>69</v>
      </c>
      <c r="C31" s="19"/>
      <c r="D31" s="155">
        <v>189777</v>
      </c>
    </row>
    <row r="32" spans="2:4" ht="15" thickBot="1">
      <c r="B32" s="20" t="s">
        <v>132</v>
      </c>
      <c r="C32" s="19"/>
      <c r="D32" s="156">
        <v>-271731</v>
      </c>
    </row>
    <row r="33" spans="2:4" ht="14.25">
      <c r="B33" s="24"/>
      <c r="C33" s="19"/>
      <c r="D33" s="19"/>
    </row>
    <row r="34" spans="2:4" ht="14.25">
      <c r="B34" s="24" t="s">
        <v>184</v>
      </c>
      <c r="C34" s="19"/>
      <c r="D34" s="155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55">
        <v>-134101</v>
      </c>
    </row>
    <row r="37" spans="2:4" ht="15" thickBot="1">
      <c r="B37" s="18" t="s">
        <v>70</v>
      </c>
      <c r="C37" s="19"/>
      <c r="D37" s="156">
        <v>-3491456</v>
      </c>
    </row>
    <row r="38" spans="2:4" ht="14.25">
      <c r="B38" s="18"/>
      <c r="C38" s="19"/>
      <c r="D38" s="19"/>
    </row>
    <row r="39" spans="2:4" ht="15" thickBot="1">
      <c r="B39" s="18" t="s">
        <v>44</v>
      </c>
      <c r="C39" s="19"/>
      <c r="D39" s="156">
        <v>11031564</v>
      </c>
    </row>
    <row r="40" spans="2:4" ht="14.25">
      <c r="B40" s="18"/>
      <c r="C40" s="19"/>
      <c r="D40" s="19"/>
    </row>
    <row r="41" spans="2:4" ht="15">
      <c r="B41" s="18" t="s">
        <v>71</v>
      </c>
      <c r="C41" s="19"/>
      <c r="D41" s="17"/>
    </row>
    <row r="42" spans="2:4" ht="14.25">
      <c r="B42" s="18" t="s">
        <v>185</v>
      </c>
      <c r="C42" s="19"/>
      <c r="D42" s="19"/>
    </row>
    <row r="43" spans="2:4" ht="14.25">
      <c r="B43" s="18" t="s">
        <v>186</v>
      </c>
      <c r="C43" s="19">
        <v>17</v>
      </c>
      <c r="D43" s="155">
        <v>15479479</v>
      </c>
    </row>
    <row r="44" spans="2:4" ht="14.25">
      <c r="B44" s="18" t="s">
        <v>187</v>
      </c>
      <c r="C44" s="19"/>
      <c r="D44" s="155">
        <v>381336</v>
      </c>
    </row>
    <row r="45" spans="2:4" ht="14.25">
      <c r="B45" s="18" t="s">
        <v>188</v>
      </c>
      <c r="C45" s="19"/>
      <c r="D45" s="155">
        <v>38068</v>
      </c>
    </row>
    <row r="46" spans="2:4" ht="14.25">
      <c r="B46" s="18" t="s">
        <v>90</v>
      </c>
      <c r="C46" s="19"/>
      <c r="D46" s="155">
        <v>-500682</v>
      </c>
    </row>
    <row r="47" spans="2:4" ht="15" thickBot="1">
      <c r="B47" s="18" t="s">
        <v>73</v>
      </c>
      <c r="C47" s="19">
        <v>25</v>
      </c>
      <c r="D47" s="155">
        <v>-11636454</v>
      </c>
    </row>
    <row r="48" spans="2:4" ht="15">
      <c r="B48" s="18"/>
      <c r="C48" s="19"/>
      <c r="D48" s="157"/>
    </row>
    <row r="49" spans="2:4" ht="15" thickBot="1">
      <c r="B49" s="18" t="s">
        <v>189</v>
      </c>
      <c r="C49" s="19"/>
      <c r="D49" s="156">
        <v>3761747</v>
      </c>
    </row>
    <row r="50" spans="2:4" ht="12.75">
      <c r="B50" s="151"/>
      <c r="C50" s="154"/>
      <c r="D50" s="154"/>
    </row>
    <row r="51" spans="2:5" ht="15">
      <c r="B51" s="20"/>
      <c r="C51" s="19"/>
      <c r="D51" s="17"/>
      <c r="E51" s="152"/>
    </row>
    <row r="52" spans="2:5" ht="15">
      <c r="B52" s="20" t="s">
        <v>75</v>
      </c>
      <c r="C52" s="19"/>
      <c r="D52" s="17"/>
      <c r="E52" s="152"/>
    </row>
    <row r="53" spans="2:5" ht="15">
      <c r="B53" s="20" t="s">
        <v>190</v>
      </c>
      <c r="C53" s="19"/>
      <c r="D53" s="155">
        <v>13320000</v>
      </c>
      <c r="E53" s="152"/>
    </row>
    <row r="54" spans="2:5" ht="15">
      <c r="B54" s="20" t="s">
        <v>191</v>
      </c>
      <c r="C54" s="19"/>
      <c r="D54" s="155">
        <v>1785884</v>
      </c>
      <c r="E54" s="152"/>
    </row>
    <row r="55" spans="2:5" ht="15">
      <c r="B55" s="20" t="s">
        <v>76</v>
      </c>
      <c r="C55" s="19"/>
      <c r="D55" s="155">
        <v>-9886</v>
      </c>
      <c r="E55" s="152"/>
    </row>
    <row r="56" spans="2:5" ht="15">
      <c r="B56" s="20" t="s">
        <v>192</v>
      </c>
      <c r="C56" s="19"/>
      <c r="D56" s="155">
        <v>-26016</v>
      </c>
      <c r="E56" s="152"/>
    </row>
    <row r="57" spans="2:5" ht="15">
      <c r="B57" s="20" t="s">
        <v>77</v>
      </c>
      <c r="C57" s="19"/>
      <c r="D57" s="155">
        <v>-63273</v>
      </c>
      <c r="E57" s="152"/>
    </row>
    <row r="58" spans="2:5" ht="15">
      <c r="B58" s="20" t="s">
        <v>193</v>
      </c>
      <c r="C58" s="19"/>
      <c r="D58" s="155">
        <v>-666770</v>
      </c>
      <c r="E58" s="152"/>
    </row>
    <row r="59" spans="2:5" ht="15">
      <c r="B59" s="20" t="s">
        <v>194</v>
      </c>
      <c r="C59" s="19"/>
      <c r="D59" s="155">
        <v>-2520424</v>
      </c>
      <c r="E59" s="152"/>
    </row>
    <row r="60" spans="2:5" ht="15">
      <c r="B60" s="20" t="s">
        <v>195</v>
      </c>
      <c r="C60" s="19"/>
      <c r="D60" s="155">
        <v>-2812839</v>
      </c>
      <c r="E60" s="152"/>
    </row>
    <row r="61" spans="2:5" ht="15.75" thickBot="1">
      <c r="B61" s="20" t="s">
        <v>196</v>
      </c>
      <c r="C61" s="19"/>
      <c r="D61" s="156">
        <v>-5000000</v>
      </c>
      <c r="E61" s="152"/>
    </row>
    <row r="62" spans="2:5" ht="15">
      <c r="B62" s="20"/>
      <c r="C62" s="19"/>
      <c r="D62" s="19"/>
      <c r="E62" s="152"/>
    </row>
    <row r="63" spans="2:5" ht="15.75" thickBot="1">
      <c r="B63" s="20" t="s">
        <v>197</v>
      </c>
      <c r="C63" s="19"/>
      <c r="D63" s="156">
        <v>4006676</v>
      </c>
      <c r="E63" s="152"/>
    </row>
    <row r="64" spans="2:5" ht="15">
      <c r="B64" s="20"/>
      <c r="C64" s="19"/>
      <c r="D64" s="17"/>
      <c r="E64" s="152"/>
    </row>
    <row r="65" spans="2:5" ht="14.25">
      <c r="B65" s="20" t="s">
        <v>198</v>
      </c>
      <c r="C65" s="19"/>
      <c r="D65" s="155">
        <v>18799987</v>
      </c>
      <c r="E65" s="24"/>
    </row>
    <row r="66" spans="2:5" ht="15">
      <c r="B66" s="20"/>
      <c r="C66" s="19"/>
      <c r="D66" s="19"/>
      <c r="E66" s="152"/>
    </row>
    <row r="67" spans="2:5" ht="28.5">
      <c r="B67" s="20" t="s">
        <v>199</v>
      </c>
      <c r="C67" s="19"/>
      <c r="D67" s="19"/>
      <c r="E67" s="152"/>
    </row>
    <row r="68" spans="2:5" ht="15.75" thickBot="1">
      <c r="B68" s="20"/>
      <c r="C68" s="19"/>
      <c r="D68" s="158">
        <v>2</v>
      </c>
      <c r="E68" s="152"/>
    </row>
    <row r="69" spans="2:5" ht="15">
      <c r="B69" s="20"/>
      <c r="C69" s="19"/>
      <c r="D69" s="19"/>
      <c r="E69" s="152"/>
    </row>
    <row r="70" spans="2:5" ht="15.75" thickBot="1">
      <c r="B70" s="20" t="s">
        <v>200</v>
      </c>
      <c r="C70" s="19">
        <v>26</v>
      </c>
      <c r="D70" s="159">
        <v>18799989</v>
      </c>
      <c r="E70" s="152"/>
    </row>
    <row r="71" spans="2:5" ht="13.5" thickTop="1">
      <c r="B71" s="151"/>
      <c r="C71" s="154"/>
      <c r="D71" s="154"/>
      <c r="E71" s="151"/>
    </row>
    <row r="72" ht="14.25">
      <c r="B72" s="60"/>
    </row>
    <row r="73" ht="14.25">
      <c r="B73" s="51"/>
    </row>
    <row r="74" ht="14.25">
      <c r="B74" s="51"/>
    </row>
    <row r="75" spans="2:4" ht="15">
      <c r="B75" s="161" t="s">
        <v>210</v>
      </c>
      <c r="C75"/>
      <c r="D75"/>
    </row>
    <row r="76" spans="2:4" ht="14.25">
      <c r="B76" s="150"/>
      <c r="C76"/>
      <c r="D76"/>
    </row>
    <row r="77" spans="2:4" ht="42.75">
      <c r="B77" s="150" t="s">
        <v>201</v>
      </c>
      <c r="C77"/>
      <c r="D77"/>
    </row>
    <row r="78" spans="2:4" ht="14.25">
      <c r="B78" s="150"/>
      <c r="C78"/>
      <c r="D78"/>
    </row>
    <row r="79" spans="2:7" ht="15.75" thickBot="1">
      <c r="B79" s="25"/>
      <c r="D79" s="162" t="s">
        <v>202</v>
      </c>
      <c r="E79" s="163"/>
      <c r="F79" s="258"/>
      <c r="G79" s="258"/>
    </row>
    <row r="80" spans="2:7" ht="15">
      <c r="B80" s="25"/>
      <c r="D80" s="17">
        <v>2009</v>
      </c>
      <c r="E80" s="163"/>
      <c r="F80" s="164"/>
      <c r="G80" s="163"/>
    </row>
    <row r="81" spans="2:7" ht="15">
      <c r="B81" s="20"/>
      <c r="D81" s="17" t="s">
        <v>177</v>
      </c>
      <c r="E81" s="163"/>
      <c r="F81" s="164"/>
      <c r="G81" s="163"/>
    </row>
    <row r="82" spans="2:7" ht="15">
      <c r="B82" s="20"/>
      <c r="D82" s="17"/>
      <c r="E82" s="163"/>
      <c r="F82" s="164"/>
      <c r="G82" s="164"/>
    </row>
    <row r="83" spans="2:7" ht="14.25">
      <c r="B83" s="20" t="s">
        <v>203</v>
      </c>
      <c r="D83" s="155">
        <v>8538068</v>
      </c>
      <c r="E83" s="165"/>
      <c r="F83" s="166"/>
      <c r="G83" s="166"/>
    </row>
    <row r="84" spans="2:7" ht="15">
      <c r="B84" s="20" t="s">
        <v>204</v>
      </c>
      <c r="D84" s="17"/>
      <c r="E84" s="163"/>
      <c r="F84" s="164"/>
      <c r="G84" s="164"/>
    </row>
    <row r="85" spans="2:7" ht="14.25">
      <c r="B85" s="20" t="s">
        <v>205</v>
      </c>
      <c r="D85" s="155">
        <v>19711108</v>
      </c>
      <c r="E85" s="166"/>
      <c r="F85" s="167"/>
      <c r="G85" s="166"/>
    </row>
    <row r="86" spans="2:7" ht="14.25">
      <c r="B86" s="20" t="s">
        <v>206</v>
      </c>
      <c r="D86" s="155">
        <v>3199333</v>
      </c>
      <c r="E86" s="165"/>
      <c r="F86" s="167"/>
      <c r="G86" s="166"/>
    </row>
    <row r="87" spans="2:7" ht="15" thickBot="1">
      <c r="B87" s="20" t="s">
        <v>207</v>
      </c>
      <c r="D87" s="156">
        <v>-3959186</v>
      </c>
      <c r="E87" s="166"/>
      <c r="F87" s="167"/>
      <c r="G87" s="166"/>
    </row>
    <row r="88" spans="2:7" ht="14.25">
      <c r="B88" s="20"/>
      <c r="D88" s="19"/>
      <c r="E88" s="166"/>
      <c r="F88" s="167"/>
      <c r="G88" s="166"/>
    </row>
    <row r="89" spans="2:7" ht="14.25">
      <c r="B89" s="20"/>
      <c r="D89" s="155">
        <v>27489323</v>
      </c>
      <c r="E89" s="165"/>
      <c r="F89" s="167"/>
      <c r="G89" s="166"/>
    </row>
    <row r="90" spans="2:7" ht="15">
      <c r="B90" s="20" t="s">
        <v>208</v>
      </c>
      <c r="D90" s="17"/>
      <c r="E90" s="163"/>
      <c r="F90" s="164"/>
      <c r="G90" s="163"/>
    </row>
    <row r="91" spans="2:7" ht="15" thickBot="1">
      <c r="B91" s="20" t="s">
        <v>209</v>
      </c>
      <c r="D91" s="156">
        <v>-8689334</v>
      </c>
      <c r="E91" s="168"/>
      <c r="F91" s="168"/>
      <c r="G91" s="166"/>
    </row>
    <row r="92" spans="2:7" ht="14.25">
      <c r="B92" s="20"/>
      <c r="D92" s="19"/>
      <c r="E92" s="168"/>
      <c r="F92" s="168"/>
      <c r="G92" s="166"/>
    </row>
    <row r="93" spans="2:7" ht="15" thickBot="1">
      <c r="B93" s="20"/>
      <c r="D93" s="159">
        <v>18799989</v>
      </c>
      <c r="E93" s="169"/>
      <c r="F93" s="168"/>
      <c r="G93" s="166"/>
    </row>
    <row r="94" spans="2:4" ht="15" thickTop="1">
      <c r="B94" s="150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7"/>
  <sheetViews>
    <sheetView tabSelected="1" zoomScalePageLayoutView="0" workbookViewId="0" topLeftCell="A56">
      <selection activeCell="D57" sqref="D57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25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190"/>
    </row>
    <row r="4" spans="2:10" s="51" customFormat="1" ht="15" customHeight="1">
      <c r="B4" s="16" t="s">
        <v>269</v>
      </c>
      <c r="E4" s="39"/>
      <c r="F4" s="39"/>
      <c r="G4" s="191"/>
      <c r="H4" s="39"/>
      <c r="I4" s="39"/>
      <c r="J4" s="39"/>
    </row>
    <row r="5" spans="2:10" s="51" customFormat="1" ht="15" customHeight="1">
      <c r="B5" s="16"/>
      <c r="E5" s="242" t="s">
        <v>211</v>
      </c>
      <c r="F5" s="56"/>
      <c r="G5" s="242" t="s">
        <v>270</v>
      </c>
      <c r="I5" s="242" t="s">
        <v>271</v>
      </c>
      <c r="J5" s="242" t="s">
        <v>212</v>
      </c>
    </row>
    <row r="6" spans="2:10" s="51" customFormat="1" ht="15" customHeight="1">
      <c r="B6" s="16"/>
      <c r="E6" s="242"/>
      <c r="F6" s="56"/>
      <c r="G6" s="242"/>
      <c r="I6" s="260"/>
      <c r="J6" s="260"/>
    </row>
    <row r="7" spans="2:10" s="51" customFormat="1" ht="15" customHeight="1">
      <c r="B7" s="16"/>
      <c r="E7" s="242"/>
      <c r="F7" s="56"/>
      <c r="G7" s="242"/>
      <c r="I7" s="260"/>
      <c r="J7" s="260"/>
    </row>
    <row r="8" spans="2:10" s="51" customFormat="1" ht="45" customHeight="1">
      <c r="B8" s="16"/>
      <c r="E8" s="242"/>
      <c r="F8" s="56"/>
      <c r="G8" s="242"/>
      <c r="I8" s="260"/>
      <c r="J8" s="260"/>
    </row>
    <row r="9" spans="2:10" s="51" customFormat="1" ht="15" customHeight="1">
      <c r="B9" s="16"/>
      <c r="E9" s="58" t="s">
        <v>3</v>
      </c>
      <c r="F9" s="58"/>
      <c r="G9" s="192" t="s">
        <v>3</v>
      </c>
      <c r="I9" s="188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93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226"/>
      <c r="H11" s="15"/>
      <c r="I11" s="15"/>
      <c r="J11" s="19"/>
    </row>
    <row r="12" spans="2:11" s="51" customFormat="1" ht="14.25">
      <c r="B12" s="20" t="s">
        <v>2</v>
      </c>
      <c r="C12" s="19"/>
      <c r="D12" s="19"/>
      <c r="E12" s="21">
        <f>'[4]cashflow.'!$U$8</f>
        <v>2912</v>
      </c>
      <c r="F12" s="21"/>
      <c r="G12" s="231">
        <f>'[6]Cashflow0313'!$C$6+2</f>
        <v>-627.3520874024296</v>
      </c>
      <c r="H12" s="21"/>
      <c r="I12" s="21">
        <v>2495</v>
      </c>
      <c r="J12" s="21">
        <f>'CF12.09'!D12/1000</f>
        <v>13768.765</v>
      </c>
      <c r="K12" s="184"/>
    </row>
    <row r="13" spans="2:11" s="51" customFormat="1" ht="14.25">
      <c r="B13" s="20"/>
      <c r="C13" s="19"/>
      <c r="D13" s="19"/>
      <c r="E13" s="21"/>
      <c r="F13" s="21"/>
      <c r="G13" s="231"/>
      <c r="H13" s="21"/>
      <c r="I13" s="21"/>
      <c r="J13" s="21"/>
      <c r="K13" s="184"/>
    </row>
    <row r="14" spans="2:11" s="51" customFormat="1" ht="15" thickBot="1">
      <c r="B14" s="198" t="s">
        <v>111</v>
      </c>
      <c r="C14" s="19"/>
      <c r="D14" s="19"/>
      <c r="E14" s="21" t="e">
        <f>'[4]cashflow.'!$V$17</f>
        <v>#REF!</v>
      </c>
      <c r="F14" s="21"/>
      <c r="G14" s="231">
        <f>'[6]Cashflow0313'!$J$18-2</f>
        <v>942.215780045625</v>
      </c>
      <c r="H14" s="21"/>
      <c r="I14" s="22">
        <v>1249</v>
      </c>
      <c r="J14" s="22">
        <f>'CF12.09'!E22/1000</f>
        <v>914.288</v>
      </c>
      <c r="K14" s="184"/>
    </row>
    <row r="15" spans="2:11" s="51" customFormat="1" ht="14.25">
      <c r="B15" s="199"/>
      <c r="C15" s="19"/>
      <c r="D15" s="19"/>
      <c r="E15" s="23"/>
      <c r="F15" s="28"/>
      <c r="G15" s="232"/>
      <c r="H15" s="28"/>
      <c r="I15" s="28"/>
      <c r="J15" s="21"/>
      <c r="K15" s="184"/>
    </row>
    <row r="16" spans="2:11" s="51" customFormat="1" ht="15.75" customHeight="1">
      <c r="B16" s="198" t="s">
        <v>8</v>
      </c>
      <c r="C16" s="19"/>
      <c r="D16" s="19"/>
      <c r="E16" s="49">
        <f>'[4]cashflow.'!$U$21</f>
        <v>3906</v>
      </c>
      <c r="F16" s="49"/>
      <c r="G16" s="233">
        <f>SUM(G12:G14)</f>
        <v>314.86369264319546</v>
      </c>
      <c r="H16" s="21"/>
      <c r="I16" s="49">
        <f>SUM(I12:I14)</f>
        <v>3744</v>
      </c>
      <c r="J16" s="49">
        <f>'CF12.09'!D24/1000</f>
        <v>14683.053</v>
      </c>
      <c r="K16" s="184"/>
    </row>
    <row r="17" spans="2:15" s="51" customFormat="1" ht="14.25">
      <c r="B17" s="200"/>
      <c r="C17" s="24"/>
      <c r="D17" s="24"/>
      <c r="E17" s="21"/>
      <c r="F17" s="21"/>
      <c r="G17" s="231"/>
      <c r="H17" s="21"/>
      <c r="I17" s="21"/>
      <c r="J17" s="21"/>
      <c r="K17" s="195"/>
      <c r="L17" s="19"/>
      <c r="M17" s="19"/>
      <c r="N17" s="19"/>
      <c r="O17" s="19"/>
    </row>
    <row r="18" spans="2:12" s="51" customFormat="1" ht="14.25" customHeight="1" hidden="1">
      <c r="B18" s="41" t="s">
        <v>88</v>
      </c>
      <c r="C18" s="24"/>
      <c r="D18" s="24"/>
      <c r="E18" s="21">
        <f>'[1]cashflow.'!D22</f>
        <v>0</v>
      </c>
      <c r="F18" s="21"/>
      <c r="G18" s="231" t="e">
        <f>'[1]cashflow.'!F22</f>
        <v>#REF!</v>
      </c>
      <c r="H18" s="21"/>
      <c r="I18" s="21"/>
      <c r="J18" s="21" t="s">
        <v>24</v>
      </c>
      <c r="K18" s="195"/>
      <c r="L18" s="19"/>
    </row>
    <row r="19" spans="2:12" s="51" customFormat="1" ht="14.25" customHeight="1">
      <c r="B19" s="41" t="s">
        <v>231</v>
      </c>
      <c r="C19" s="24"/>
      <c r="D19" s="24"/>
      <c r="E19" s="21">
        <f>'[4]cashflow.'!$U$23</f>
        <v>312.60903000000053</v>
      </c>
      <c r="F19" s="21"/>
      <c r="G19" s="231">
        <f>'[6]Cashflow0313'!$C$20</f>
        <v>-922</v>
      </c>
      <c r="H19" s="21"/>
      <c r="I19" s="21">
        <v>-1504</v>
      </c>
      <c r="J19" s="21">
        <f>'CF12.09'!D26/1000</f>
        <v>1005.378</v>
      </c>
      <c r="K19" s="195"/>
      <c r="L19" s="19"/>
    </row>
    <row r="20" spans="2:12" s="51" customFormat="1" ht="14.25" customHeight="1">
      <c r="B20" s="41" t="s">
        <v>232</v>
      </c>
      <c r="C20" s="24"/>
      <c r="D20" s="24"/>
      <c r="E20" s="21">
        <f>'[4]cashflow.'!$U$24</f>
        <v>-1741.777379999996</v>
      </c>
      <c r="F20" s="21"/>
      <c r="G20" s="231">
        <f>'[6]Cashflow0313'!$C$21</f>
        <v>-3099</v>
      </c>
      <c r="H20" s="21"/>
      <c r="I20" s="21">
        <v>-4467</v>
      </c>
      <c r="J20" s="21">
        <f>'CF12.09'!D27/1000</f>
        <v>2638.376</v>
      </c>
      <c r="K20" s="195"/>
      <c r="L20" s="19"/>
    </row>
    <row r="21" spans="2:12" s="51" customFormat="1" ht="14.25" customHeight="1">
      <c r="B21" s="41" t="s">
        <v>237</v>
      </c>
      <c r="C21" s="24"/>
      <c r="D21" s="24"/>
      <c r="E21" s="21">
        <f>'[4]cashflow.'!$U$25</f>
        <v>-1991.7909599999984</v>
      </c>
      <c r="F21" s="21"/>
      <c r="G21" s="231">
        <f>'[6]Cashflow0313'!$C$22</f>
        <v>4013.4307091858577</v>
      </c>
      <c r="H21" s="21"/>
      <c r="I21" s="21">
        <v>6473</v>
      </c>
      <c r="J21" s="21">
        <f>'CF12.09'!D28/1000</f>
        <v>-3186.2</v>
      </c>
      <c r="K21" s="195"/>
      <c r="L21" s="19"/>
    </row>
    <row r="22" spans="2:12" s="51" customFormat="1" ht="14.25" customHeight="1">
      <c r="B22" s="199" t="s">
        <v>233</v>
      </c>
      <c r="C22" s="24"/>
      <c r="D22" s="24"/>
      <c r="E22" s="21">
        <f>'[4]cashflow.'!$U$26</f>
        <v>770.346</v>
      </c>
      <c r="F22" s="21"/>
      <c r="G22" s="231">
        <f>'[6]Cashflow0313'!$C$23</f>
        <v>3081</v>
      </c>
      <c r="H22" s="21"/>
      <c r="I22" s="21">
        <v>3900</v>
      </c>
      <c r="J22" s="21">
        <f>'CF12.09'!D29/1000</f>
        <v>-1774.921</v>
      </c>
      <c r="K22" s="195"/>
      <c r="L22" s="19"/>
    </row>
    <row r="23" spans="2:12" s="51" customFormat="1" ht="14.25" customHeight="1">
      <c r="B23" s="41" t="s">
        <v>234</v>
      </c>
      <c r="C23" s="20"/>
      <c r="D23" s="20"/>
      <c r="E23" s="21">
        <f>'[4]cashflow.'!$U$27</f>
        <v>8.91215000000011</v>
      </c>
      <c r="F23" s="21"/>
      <c r="G23" s="231">
        <v>0</v>
      </c>
      <c r="H23" s="21"/>
      <c r="I23" s="21">
        <v>155</v>
      </c>
      <c r="J23" s="21">
        <f>'CF12.09'!D30/1000</f>
        <v>1373.389</v>
      </c>
      <c r="K23" s="195"/>
      <c r="L23" s="19"/>
    </row>
    <row r="24" spans="2:12" s="51" customFormat="1" ht="14.25" customHeight="1">
      <c r="B24" s="41" t="s">
        <v>238</v>
      </c>
      <c r="C24" s="20"/>
      <c r="D24" s="20"/>
      <c r="E24" s="21">
        <f>'[4]cashflow.'!$U$28</f>
        <v>-230.72018999999818</v>
      </c>
      <c r="F24" s="21"/>
      <c r="G24" s="231">
        <f>'[6]Cashflow0313'!$C$24</f>
        <v>-203.24391467026612</v>
      </c>
      <c r="H24" s="21"/>
      <c r="I24" s="21">
        <v>-2319</v>
      </c>
      <c r="J24" s="21">
        <f>'CF12.09'!D31/1000</f>
        <v>189.777</v>
      </c>
      <c r="K24" s="195"/>
      <c r="L24" s="19"/>
    </row>
    <row r="25" spans="2:12" s="51" customFormat="1" ht="14.25" customHeight="1">
      <c r="B25" s="199" t="s">
        <v>236</v>
      </c>
      <c r="C25" s="20"/>
      <c r="D25" s="20"/>
      <c r="E25" s="21"/>
      <c r="F25" s="21"/>
      <c r="G25" s="231">
        <f>'[6]Cashflow0313'!$C$25</f>
        <v>0</v>
      </c>
      <c r="H25" s="21"/>
      <c r="I25" s="21">
        <v>-151</v>
      </c>
      <c r="J25" s="21"/>
      <c r="K25" s="195"/>
      <c r="L25" s="19"/>
    </row>
    <row r="26" spans="2:12" s="51" customFormat="1" ht="15" thickBot="1">
      <c r="B26" s="40" t="s">
        <v>239</v>
      </c>
      <c r="C26" s="20"/>
      <c r="D26" s="20"/>
      <c r="E26" s="22">
        <f>'[4]cashflow.'!$U$29</f>
        <v>-780.1700500000002</v>
      </c>
      <c r="F26" s="28"/>
      <c r="G26" s="234">
        <v>0</v>
      </c>
      <c r="H26" s="28"/>
      <c r="I26" s="22">
        <v>-437</v>
      </c>
      <c r="J26" s="22">
        <f>'CF12.09'!D32/1000</f>
        <v>-271.731</v>
      </c>
      <c r="K26" s="195"/>
      <c r="L26" s="19"/>
    </row>
    <row r="27" spans="2:12" s="51" customFormat="1" ht="14.25">
      <c r="B27" s="200"/>
      <c r="C27" s="24"/>
      <c r="D27" s="24"/>
      <c r="E27" s="21"/>
      <c r="F27" s="21"/>
      <c r="G27" s="231"/>
      <c r="H27" s="21"/>
      <c r="I27" s="21"/>
      <c r="J27" s="21"/>
      <c r="K27" s="195"/>
      <c r="L27" s="19"/>
    </row>
    <row r="28" spans="2:12" s="51" customFormat="1" ht="14.25" customHeight="1">
      <c r="B28" s="198" t="s">
        <v>105</v>
      </c>
      <c r="C28" s="20"/>
      <c r="D28" s="20"/>
      <c r="E28" s="49">
        <f>'[4]cashflow.'!$U$32</f>
        <v>254.40860000000794</v>
      </c>
      <c r="F28" s="49"/>
      <c r="G28" s="233">
        <f>SUM(G19:G27)+G16</f>
        <v>3185.0504871587873</v>
      </c>
      <c r="H28" s="21"/>
      <c r="I28" s="49">
        <f>SUM(I16:I26)+1</f>
        <v>5395</v>
      </c>
      <c r="J28" s="49">
        <f>'CF12.09'!D34/1000</f>
        <v>14657.121</v>
      </c>
      <c r="K28" s="195"/>
      <c r="L28" s="19"/>
    </row>
    <row r="29" spans="2:12" s="51" customFormat="1" ht="14.25" customHeight="1">
      <c r="B29" s="198"/>
      <c r="C29" s="20"/>
      <c r="D29" s="20"/>
      <c r="E29" s="49"/>
      <c r="F29" s="49"/>
      <c r="G29" s="233"/>
      <c r="H29" s="21"/>
      <c r="I29" s="49"/>
      <c r="J29" s="49"/>
      <c r="K29" s="195"/>
      <c r="L29" s="19"/>
    </row>
    <row r="30" spans="2:12" s="51" customFormat="1" ht="14.25" customHeight="1">
      <c r="B30" s="45" t="s">
        <v>9</v>
      </c>
      <c r="C30" s="18"/>
      <c r="D30" s="18"/>
      <c r="E30" s="21">
        <f>'[4]cashflow.'!$R$34</f>
        <v>-43</v>
      </c>
      <c r="F30" s="21"/>
      <c r="G30" s="231">
        <f>'[6]Cashflow0313'!$C$27</f>
        <v>-112.77533</v>
      </c>
      <c r="H30" s="21"/>
      <c r="I30" s="21">
        <v>-972</v>
      </c>
      <c r="J30" s="21">
        <f>'CF12.09'!D36/1000</f>
        <v>-134.101</v>
      </c>
      <c r="K30" s="195"/>
      <c r="L30" s="19"/>
    </row>
    <row r="31" spans="2:12" s="51" customFormat="1" ht="14.25">
      <c r="B31" s="45" t="s">
        <v>70</v>
      </c>
      <c r="C31" s="18"/>
      <c r="D31" s="18"/>
      <c r="E31" s="21">
        <f>'[4]cashflow.'!$R$35</f>
        <v>-832</v>
      </c>
      <c r="F31" s="21"/>
      <c r="G31" s="231">
        <f>'[6]Cashflow0313'!$C$29</f>
        <v>-303.2985</v>
      </c>
      <c r="H31" s="28"/>
      <c r="I31" s="28">
        <v>-663</v>
      </c>
      <c r="J31" s="21">
        <f>'CF12.09'!D37/1000</f>
        <v>-3491.456</v>
      </c>
      <c r="K31" s="195"/>
      <c r="L31" s="19"/>
    </row>
    <row r="32" spans="2:12" s="51" customFormat="1" ht="15" thickBot="1">
      <c r="B32" s="45"/>
      <c r="C32" s="18"/>
      <c r="D32" s="18"/>
      <c r="E32" s="22"/>
      <c r="F32" s="28"/>
      <c r="G32" s="234"/>
      <c r="H32" s="21"/>
      <c r="I32" s="22"/>
      <c r="J32" s="22"/>
      <c r="K32" s="195"/>
      <c r="L32" s="19"/>
    </row>
    <row r="33" spans="2:12" s="51" customFormat="1" ht="15.75" thickBot="1">
      <c r="B33" s="201" t="s">
        <v>44</v>
      </c>
      <c r="C33" s="18"/>
      <c r="D33" s="18"/>
      <c r="E33" s="50">
        <f>'[4]cashflow.'!$U$37</f>
        <v>-620.5913999999921</v>
      </c>
      <c r="F33" s="112"/>
      <c r="G33" s="235">
        <f>SUM(G28:G32)</f>
        <v>2768.9766571587875</v>
      </c>
      <c r="H33" s="28"/>
      <c r="I33" s="50">
        <f>SUM(I28:I32)</f>
        <v>3760</v>
      </c>
      <c r="J33" s="160">
        <f>'CF12.09'!D39/1000</f>
        <v>11031.564</v>
      </c>
      <c r="K33" s="195"/>
      <c r="L33" s="19"/>
    </row>
    <row r="34" spans="2:12" s="51" customFormat="1" ht="14.25">
      <c r="B34" s="45"/>
      <c r="C34" s="18"/>
      <c r="D34" s="18"/>
      <c r="E34" s="102"/>
      <c r="F34" s="102"/>
      <c r="G34" s="236"/>
      <c r="H34" s="102"/>
      <c r="I34" s="102"/>
      <c r="J34" s="102"/>
      <c r="K34" s="195"/>
      <c r="L34" s="19"/>
    </row>
    <row r="35" spans="2:12" s="51" customFormat="1" ht="14.25">
      <c r="B35" s="45"/>
      <c r="C35" s="19"/>
      <c r="D35" s="19"/>
      <c r="E35" s="21"/>
      <c r="F35" s="21"/>
      <c r="G35" s="231"/>
      <c r="H35" s="21"/>
      <c r="I35" s="21"/>
      <c r="J35" s="21"/>
      <c r="K35" s="195"/>
      <c r="L35" s="19"/>
    </row>
    <row r="36" spans="2:12" s="51" customFormat="1" ht="15" customHeight="1">
      <c r="B36" s="201" t="s">
        <v>71</v>
      </c>
      <c r="C36" s="25"/>
      <c r="D36" s="25"/>
      <c r="E36" s="21"/>
      <c r="F36" s="21"/>
      <c r="G36" s="231"/>
      <c r="H36" s="21"/>
      <c r="I36" s="21"/>
      <c r="J36" s="21"/>
      <c r="K36" s="196"/>
      <c r="L36" s="19"/>
    </row>
    <row r="37" spans="2:12" s="51" customFormat="1" ht="14.25">
      <c r="B37" s="42" t="s">
        <v>72</v>
      </c>
      <c r="C37" s="18"/>
      <c r="D37" s="18"/>
      <c r="E37" s="21">
        <f>'[4]cashflow.'!$U$41+'[4]cashflow.'!$U$42</f>
        <v>146</v>
      </c>
      <c r="F37" s="21"/>
      <c r="G37" s="231">
        <f>'[6]Cashflow0313'!$C$36+2</f>
        <v>43.47242</v>
      </c>
      <c r="H37" s="21"/>
      <c r="I37" s="21">
        <v>252</v>
      </c>
      <c r="J37" s="21">
        <f>'CF12.09'!D45/1000+'CF12.09'!D44/1000</f>
        <v>419.404</v>
      </c>
      <c r="K37" s="195"/>
      <c r="L37" s="19"/>
    </row>
    <row r="38" spans="2:12" s="51" customFormat="1" ht="14.25">
      <c r="B38" s="42" t="s">
        <v>90</v>
      </c>
      <c r="C38" s="19"/>
      <c r="D38" s="19"/>
      <c r="E38" s="21">
        <v>0</v>
      </c>
      <c r="F38" s="21"/>
      <c r="G38" s="231">
        <f>'[6]Cashflow0313'!$C$37</f>
        <v>-149.10055999999895</v>
      </c>
      <c r="H38" s="21"/>
      <c r="I38" s="21">
        <v>-296</v>
      </c>
      <c r="J38" s="21">
        <f>'CF12.09'!D46/1000</f>
        <v>-500.682</v>
      </c>
      <c r="K38" s="195"/>
      <c r="L38" s="19"/>
    </row>
    <row r="39" spans="2:12" s="51" customFormat="1" ht="14.25">
      <c r="B39" s="45" t="s">
        <v>73</v>
      </c>
      <c r="C39" s="19"/>
      <c r="D39" s="19"/>
      <c r="E39" s="21">
        <f>'[4]cashflow.'!$U$45</f>
        <v>-1142</v>
      </c>
      <c r="F39" s="21"/>
      <c r="G39" s="231">
        <f>'[6]Cashflow0313'!$C$38</f>
        <v>-2769.4369300000003</v>
      </c>
      <c r="H39" s="21"/>
      <c r="I39" s="21">
        <v>-6519</v>
      </c>
      <c r="J39" s="21">
        <f>'CF12.09'!D47/1000</f>
        <v>-11636.454</v>
      </c>
      <c r="K39" s="195"/>
      <c r="L39" s="19"/>
    </row>
    <row r="40" spans="2:12" s="51" customFormat="1" ht="14.25">
      <c r="B40" s="222" t="s">
        <v>272</v>
      </c>
      <c r="C40" s="19"/>
      <c r="D40" s="19"/>
      <c r="E40" s="21"/>
      <c r="F40" s="21"/>
      <c r="G40" s="231">
        <f>'[6]Cashflow0313'!$C$35+'[6]Cashflow0313'!$C$34+1</f>
        <v>72.26466</v>
      </c>
      <c r="H40" s="21"/>
      <c r="I40" s="21">
        <v>211</v>
      </c>
      <c r="J40" s="21"/>
      <c r="K40" s="195"/>
      <c r="L40" s="19"/>
    </row>
    <row r="41" spans="2:12" s="51" customFormat="1" ht="15" thickBot="1">
      <c r="B41" s="45"/>
      <c r="C41" s="19"/>
      <c r="D41" s="19"/>
      <c r="E41" s="22"/>
      <c r="F41" s="28"/>
      <c r="G41" s="234"/>
      <c r="H41" s="28"/>
      <c r="I41" s="22"/>
      <c r="J41" s="22"/>
      <c r="K41" s="195"/>
      <c r="L41" s="19"/>
    </row>
    <row r="42" spans="2:13" s="51" customFormat="1" ht="15.75" thickBot="1">
      <c r="B42" s="45" t="s">
        <v>133</v>
      </c>
      <c r="C42" s="18"/>
      <c r="D42" s="18"/>
      <c r="E42" s="50">
        <f>'[4]cashflow.'!$U$48</f>
        <v>-996</v>
      </c>
      <c r="F42" s="112"/>
      <c r="G42" s="235">
        <f>SUM(G37:G41)</f>
        <v>-2802.8004099999994</v>
      </c>
      <c r="H42" s="28"/>
      <c r="I42" s="50">
        <f>SUM(I37:I41)</f>
        <v>-6352</v>
      </c>
      <c r="J42" s="50">
        <f>'CF12.09'!D49/1000</f>
        <v>3761.747</v>
      </c>
      <c r="K42" s="214"/>
      <c r="L42" s="19"/>
      <c r="M42" s="103"/>
    </row>
    <row r="43" spans="2:12" s="51" customFormat="1" ht="14.25">
      <c r="B43" s="200"/>
      <c r="C43" s="19"/>
      <c r="D43" s="19"/>
      <c r="E43" s="21"/>
      <c r="F43" s="21"/>
      <c r="G43" s="231"/>
      <c r="H43" s="21"/>
      <c r="I43" s="21"/>
      <c r="J43" s="21"/>
      <c r="K43" s="195"/>
      <c r="L43" s="19"/>
    </row>
    <row r="44" spans="2:12" s="51" customFormat="1" ht="15" customHeight="1">
      <c r="B44" s="201" t="s">
        <v>75</v>
      </c>
      <c r="C44" s="25"/>
      <c r="D44" s="25"/>
      <c r="E44" s="21"/>
      <c r="F44" s="21"/>
      <c r="G44" s="231"/>
      <c r="H44" s="21"/>
      <c r="I44" s="21"/>
      <c r="J44" s="21"/>
      <c r="K44" s="197"/>
      <c r="L44" s="18"/>
    </row>
    <row r="45" spans="2:12" s="51" customFormat="1" ht="14.25" customHeight="1" hidden="1">
      <c r="B45" s="199" t="s">
        <v>190</v>
      </c>
      <c r="C45" s="18"/>
      <c r="D45" s="18"/>
      <c r="E45" s="21">
        <v>0</v>
      </c>
      <c r="F45" s="21"/>
      <c r="G45" s="231">
        <v>0</v>
      </c>
      <c r="H45" s="21"/>
      <c r="I45" s="21">
        <v>0</v>
      </c>
      <c r="J45" s="21">
        <f>'CF12.09'!D53/1000</f>
        <v>13320</v>
      </c>
      <c r="K45" s="195"/>
      <c r="L45" s="19"/>
    </row>
    <row r="46" spans="2:12" s="51" customFormat="1" ht="14.25" customHeight="1" hidden="1">
      <c r="B46" s="199" t="s">
        <v>191</v>
      </c>
      <c r="C46" s="18"/>
      <c r="D46" s="18"/>
      <c r="E46" s="21">
        <f>'[4]cashflow.'!$U$55</f>
        <v>-161.806</v>
      </c>
      <c r="F46" s="21"/>
      <c r="G46" s="231">
        <v>0</v>
      </c>
      <c r="H46" s="21"/>
      <c r="I46" s="21">
        <v>0</v>
      </c>
      <c r="J46" s="21">
        <f>'CF12.09'!D54/1000</f>
        <v>1785.884</v>
      </c>
      <c r="K46" s="195"/>
      <c r="L46" s="19"/>
    </row>
    <row r="47" spans="2:12" s="51" customFormat="1" ht="14.25" customHeight="1">
      <c r="B47" s="199" t="s">
        <v>9</v>
      </c>
      <c r="C47" s="18"/>
      <c r="D47" s="18"/>
      <c r="E47" s="21">
        <f>'[4]cashflow.'!$U$53</f>
        <v>-15</v>
      </c>
      <c r="F47" s="21"/>
      <c r="G47" s="231">
        <f>'[6]Cashflow0313'!$C$47</f>
        <v>-224.74499999999995</v>
      </c>
      <c r="H47" s="21"/>
      <c r="I47" s="21">
        <f>-293-6</f>
        <v>-299</v>
      </c>
      <c r="J47" s="21">
        <f>'CF12.09'!D56/1000</f>
        <v>-26.016</v>
      </c>
      <c r="K47" s="195"/>
      <c r="L47" s="19"/>
    </row>
    <row r="48" spans="2:12" s="51" customFormat="1" ht="14.25" customHeight="1">
      <c r="B48" s="199" t="s">
        <v>77</v>
      </c>
      <c r="C48" s="18"/>
      <c r="D48" s="18"/>
      <c r="E48" s="21">
        <f>'[4]cashflow.'!$U$54</f>
        <v>-440</v>
      </c>
      <c r="F48" s="21"/>
      <c r="G48" s="231">
        <f>'[6]Cashflow0313'!$C$52</f>
        <v>-33</v>
      </c>
      <c r="H48" s="21"/>
      <c r="I48" s="21">
        <v>-30</v>
      </c>
      <c r="J48" s="21">
        <f>'CF12.09'!D57/1000</f>
        <v>-63.273</v>
      </c>
      <c r="K48" s="195"/>
      <c r="L48" s="19"/>
    </row>
    <row r="49" spans="2:12" s="51" customFormat="1" ht="14.25" customHeight="1">
      <c r="B49" s="199" t="s">
        <v>228</v>
      </c>
      <c r="C49" s="18"/>
      <c r="D49" s="18"/>
      <c r="E49" s="21">
        <f>'[4]cashflow.'!$U$51</f>
        <v>-1007.242</v>
      </c>
      <c r="F49" s="21"/>
      <c r="G49" s="231">
        <f>'[6]Cashflow0313'!$C$49</f>
        <v>-676</v>
      </c>
      <c r="H49" s="28"/>
      <c r="I49" s="28">
        <v>-47</v>
      </c>
      <c r="J49" s="21">
        <f>'CF12.09'!D60/1000</f>
        <v>-2812.839</v>
      </c>
      <c r="K49" s="195"/>
      <c r="L49" s="19"/>
    </row>
    <row r="50" spans="2:12" s="51" customFormat="1" ht="14.25" customHeight="1">
      <c r="B50" s="199" t="s">
        <v>229</v>
      </c>
      <c r="C50" s="18"/>
      <c r="D50" s="18"/>
      <c r="E50" s="21"/>
      <c r="F50" s="21"/>
      <c r="G50" s="231">
        <f>'[6]Cashflow0313'!$C$51</f>
        <v>-1442</v>
      </c>
      <c r="H50" s="28"/>
      <c r="I50" s="28">
        <v>-1254</v>
      </c>
      <c r="J50" s="21"/>
      <c r="K50" s="195"/>
      <c r="L50" s="19"/>
    </row>
    <row r="51" spans="2:12" s="51" customFormat="1" ht="14.25" customHeight="1">
      <c r="B51" s="199" t="s">
        <v>256</v>
      </c>
      <c r="C51" s="18"/>
      <c r="D51" s="18"/>
      <c r="E51" s="21"/>
      <c r="F51" s="21"/>
      <c r="G51" s="231">
        <f>'[6]Cashflow0313'!$C$44</f>
        <v>-32.1853</v>
      </c>
      <c r="H51" s="28"/>
      <c r="I51" s="28">
        <v>0</v>
      </c>
      <c r="J51" s="21"/>
      <c r="K51" s="195"/>
      <c r="L51" s="19"/>
    </row>
    <row r="52" spans="2:12" s="51" customFormat="1" ht="14.25" customHeight="1" thickBot="1">
      <c r="B52" s="224" t="s">
        <v>255</v>
      </c>
      <c r="C52" s="18"/>
      <c r="D52" s="18"/>
      <c r="E52" s="22"/>
      <c r="F52" s="28"/>
      <c r="G52" s="237">
        <f>'[6]Cashflow0313'!$C$46</f>
        <v>-1598</v>
      </c>
      <c r="H52" s="28"/>
      <c r="I52" s="28">
        <v>0</v>
      </c>
      <c r="J52" s="22"/>
      <c r="K52" s="195"/>
      <c r="L52" s="19"/>
    </row>
    <row r="53" spans="2:12" s="51" customFormat="1" ht="14.25" customHeight="1" thickBot="1">
      <c r="B53" s="224"/>
      <c r="C53" s="18"/>
      <c r="D53" s="18"/>
      <c r="E53" s="22"/>
      <c r="F53" s="28"/>
      <c r="G53" s="234"/>
      <c r="H53" s="28"/>
      <c r="I53" s="22"/>
      <c r="J53" s="22"/>
      <c r="K53" s="195"/>
      <c r="L53" s="19"/>
    </row>
    <row r="54" spans="3:12" s="51" customFormat="1" ht="18" customHeight="1" thickBot="1">
      <c r="C54" s="20"/>
      <c r="D54" s="20"/>
      <c r="E54" s="53">
        <f>'[4]cashflow.'!$U$63</f>
        <v>-1267.048</v>
      </c>
      <c r="F54" s="173"/>
      <c r="G54" s="238">
        <f>SUM(G45:G52)</f>
        <v>-4005.9303</v>
      </c>
      <c r="H54" s="28"/>
      <c r="I54" s="50">
        <f>SUM(I45:I52)</f>
        <v>-1630</v>
      </c>
      <c r="J54" s="50">
        <f>'CF12.09'!D63/1000</f>
        <v>4006.676</v>
      </c>
      <c r="K54" s="195"/>
      <c r="L54" s="19"/>
    </row>
    <row r="55" spans="2:12" s="51" customFormat="1" ht="14.25">
      <c r="B55" s="45"/>
      <c r="C55" s="18"/>
      <c r="D55" s="18"/>
      <c r="E55" s="102"/>
      <c r="F55" s="102"/>
      <c r="G55" s="236"/>
      <c r="H55" s="28"/>
      <c r="I55" s="28"/>
      <c r="J55" s="102"/>
      <c r="K55" s="195"/>
      <c r="L55" s="19"/>
    </row>
    <row r="56" spans="2:12" s="51" customFormat="1" ht="14.25" customHeight="1">
      <c r="B56" s="201" t="s">
        <v>143</v>
      </c>
      <c r="C56" s="18"/>
      <c r="D56" s="18"/>
      <c r="E56" s="21">
        <f>'[4]cashflow.'!$U$65</f>
        <v>-2883.639399999992</v>
      </c>
      <c r="F56" s="21"/>
      <c r="G56" s="231">
        <f>G33+G42+G54</f>
        <v>-4039.754052841212</v>
      </c>
      <c r="H56" s="28"/>
      <c r="I56" s="28">
        <f>I33+I42+I54</f>
        <v>-4222</v>
      </c>
      <c r="J56" s="21">
        <f>'CF12.09'!D65/1000</f>
        <v>18799.987</v>
      </c>
      <c r="K56" s="28"/>
      <c r="L56" s="19"/>
    </row>
    <row r="57" spans="2:12" s="51" customFormat="1" ht="14.25" customHeight="1">
      <c r="B57" s="201"/>
      <c r="C57" s="18"/>
      <c r="D57" s="18"/>
      <c r="E57" s="21"/>
      <c r="F57" s="21"/>
      <c r="G57" s="231"/>
      <c r="H57" s="28"/>
      <c r="I57" s="28"/>
      <c r="J57" s="21"/>
      <c r="K57" s="28"/>
      <c r="L57" s="19"/>
    </row>
    <row r="58" spans="2:12" s="51" customFormat="1" ht="14.25" customHeight="1">
      <c r="B58" s="201" t="s">
        <v>273</v>
      </c>
      <c r="C58" s="18"/>
      <c r="D58" s="18"/>
      <c r="E58" s="21"/>
      <c r="F58" s="21"/>
      <c r="G58" s="231">
        <f>'[6]Cashflow0313'!$C$58</f>
        <v>3.8051865112329324</v>
      </c>
      <c r="H58" s="28"/>
      <c r="I58" s="28">
        <v>0</v>
      </c>
      <c r="J58" s="21"/>
      <c r="K58" s="28"/>
      <c r="L58" s="19"/>
    </row>
    <row r="59" spans="2:12" s="51" customFormat="1" ht="14.25">
      <c r="B59" s="199"/>
      <c r="C59" s="19"/>
      <c r="D59" s="19"/>
      <c r="E59" s="21"/>
      <c r="F59" s="21"/>
      <c r="G59" s="231"/>
      <c r="H59" s="28"/>
      <c r="I59" s="28"/>
      <c r="J59" s="21"/>
      <c r="K59" s="195"/>
      <c r="L59" s="19"/>
    </row>
    <row r="60" spans="2:12" s="51" customFormat="1" ht="14.25" customHeight="1" thickBot="1">
      <c r="B60" s="259" t="s">
        <v>100</v>
      </c>
      <c r="C60" s="20"/>
      <c r="D60" s="20"/>
      <c r="E60" s="22">
        <f>'[4]cashflow.'!$U$67</f>
        <v>18800</v>
      </c>
      <c r="F60" s="28"/>
      <c r="G60" s="234">
        <f>'[6]Cashflow0313'!$C$57</f>
        <v>11027.686000000003</v>
      </c>
      <c r="H60" s="28"/>
      <c r="I60" s="22">
        <v>32961</v>
      </c>
      <c r="J60" s="22">
        <f>'CF12.09'!D68/1000</f>
        <v>0.002</v>
      </c>
      <c r="K60" s="195"/>
      <c r="L60" s="19"/>
    </row>
    <row r="61" spans="2:12" s="51" customFormat="1" ht="14.25">
      <c r="B61" s="259"/>
      <c r="C61" s="20"/>
      <c r="D61" s="20"/>
      <c r="E61" s="102"/>
      <c r="F61" s="102"/>
      <c r="G61" s="236"/>
      <c r="H61" s="28"/>
      <c r="I61" s="28"/>
      <c r="J61" s="102"/>
      <c r="K61" s="195"/>
      <c r="L61" s="19"/>
    </row>
    <row r="62" spans="2:12" s="51" customFormat="1" ht="15.75" thickBot="1">
      <c r="B62" s="259" t="s">
        <v>134</v>
      </c>
      <c r="C62" s="20"/>
      <c r="D62" s="19"/>
      <c r="E62" s="111">
        <f>'[4]cashflow.'!$U$69</f>
        <v>15916.360600000007</v>
      </c>
      <c r="F62" s="112"/>
      <c r="G62" s="239">
        <f>SUM(G56:G60)</f>
        <v>6991.737133670024</v>
      </c>
      <c r="H62" s="112"/>
      <c r="I62" s="111">
        <f>SUM(I56:I60)</f>
        <v>28739</v>
      </c>
      <c r="J62" s="111">
        <f>'CF12.09'!D70/1000</f>
        <v>18799.989</v>
      </c>
      <c r="K62" s="195"/>
      <c r="L62" s="19"/>
    </row>
    <row r="63" spans="2:11" s="51" customFormat="1" ht="15" thickTop="1">
      <c r="B63" s="259"/>
      <c r="G63" s="190"/>
      <c r="H63" s="28"/>
      <c r="I63" s="28"/>
      <c r="K63" s="184"/>
    </row>
    <row r="64" spans="2:11" s="51" customFormat="1" ht="14.25">
      <c r="B64" s="12"/>
      <c r="G64" s="190"/>
      <c r="H64" s="28"/>
      <c r="I64" s="28"/>
      <c r="K64" s="184"/>
    </row>
    <row r="65" spans="2:11" s="51" customFormat="1" ht="14.25">
      <c r="B65" s="2" t="s">
        <v>96</v>
      </c>
      <c r="G65" s="190"/>
      <c r="H65" s="28"/>
      <c r="I65" s="28"/>
      <c r="K65" s="184"/>
    </row>
    <row r="66" spans="2:11" s="51" customFormat="1" ht="14.25">
      <c r="B66" s="12" t="s">
        <v>248</v>
      </c>
      <c r="E66" s="102">
        <f>'[4]cashflow.'!$N$75</f>
        <v>29350</v>
      </c>
      <c r="F66" s="102"/>
      <c r="G66" s="236">
        <f>'[6]CF Wrkg 0313'!$AN$94+'[6]CF Wrkg 0313'!$AN$96</f>
        <v>25654</v>
      </c>
      <c r="H66" s="28"/>
      <c r="I66" s="28">
        <v>37193</v>
      </c>
      <c r="J66" s="21">
        <f>'CF12.09'!D83/1000+'CF12.09'!D85/1000</f>
        <v>28249.176</v>
      </c>
      <c r="K66" s="184"/>
    </row>
    <row r="67" spans="2:11" s="51" customFormat="1" ht="14.25">
      <c r="B67" s="12" t="s">
        <v>82</v>
      </c>
      <c r="E67" s="102">
        <f>'[4]cashflow.'!$N$76</f>
        <v>3944</v>
      </c>
      <c r="F67" s="102"/>
      <c r="G67" s="236">
        <f>'[6]CF Wrkg 0313'!$AN$95</f>
        <v>4531</v>
      </c>
      <c r="H67" s="28"/>
      <c r="I67" s="28">
        <v>7342</v>
      </c>
      <c r="J67" s="21">
        <f>'CF12.09'!D86/1000</f>
        <v>3199.333</v>
      </c>
      <c r="K67" s="184"/>
    </row>
    <row r="68" spans="2:11" s="51" customFormat="1" ht="15" thickBot="1">
      <c r="B68" s="12" t="s">
        <v>83</v>
      </c>
      <c r="E68" s="123">
        <f>'[4]cashflow.'!$N$77</f>
        <v>-8541</v>
      </c>
      <c r="F68" s="174"/>
      <c r="G68" s="240">
        <f>'[6]CF Wrkg 0313'!$AN$97</f>
        <v>-8186.8543899999995</v>
      </c>
      <c r="H68" s="54"/>
      <c r="I68" s="183">
        <v>-3041</v>
      </c>
      <c r="J68" s="22">
        <f>'CF12.09'!D87/1000</f>
        <v>-3959.186</v>
      </c>
      <c r="K68" s="184"/>
    </row>
    <row r="69" spans="2:11" s="51" customFormat="1" ht="14.25">
      <c r="B69" s="12"/>
      <c r="E69" s="102">
        <f>'[4]cashflow.'!$N$78</f>
        <v>24753</v>
      </c>
      <c r="F69" s="102"/>
      <c r="G69" s="236">
        <f>SUM(G66:G68)</f>
        <v>21998.14561</v>
      </c>
      <c r="I69" s="102">
        <f>SUM(I66:I68)</f>
        <v>41494</v>
      </c>
      <c r="J69" s="21">
        <f>'CF12.09'!D89/1000</f>
        <v>27489.323</v>
      </c>
      <c r="K69" s="184"/>
    </row>
    <row r="70" spans="2:11" s="51" customFormat="1" ht="14.25">
      <c r="B70" s="43" t="s">
        <v>137</v>
      </c>
      <c r="C70" s="104"/>
      <c r="E70" s="102">
        <f>'[4]cashflow.'!$N$79</f>
        <v>-8843</v>
      </c>
      <c r="F70" s="102"/>
      <c r="G70" s="236">
        <f>'[6]Cashflow0313'!$C$67</f>
        <v>-15006</v>
      </c>
      <c r="I70" s="184">
        <v>-12755</v>
      </c>
      <c r="J70" s="21">
        <f>'CF12.09'!D91/1000</f>
        <v>-8689.334</v>
      </c>
      <c r="K70" s="184"/>
    </row>
    <row r="71" spans="2:11" s="51" customFormat="1" ht="15.75" thickBot="1">
      <c r="B71" s="12"/>
      <c r="E71" s="113">
        <f>'[4]cashflow.'!$N$80</f>
        <v>15910</v>
      </c>
      <c r="F71" s="175"/>
      <c r="G71" s="241">
        <f>SUM(G69:G70)</f>
        <v>6992.14561</v>
      </c>
      <c r="H71" s="112"/>
      <c r="I71" s="182">
        <f>SUM(I69:I70)</f>
        <v>28739</v>
      </c>
      <c r="J71" s="170">
        <f>'CF12.09'!D93/1000</f>
        <v>18799.989</v>
      </c>
      <c r="K71" s="184"/>
    </row>
    <row r="72" spans="7:11" s="51" customFormat="1" ht="15" thickTop="1">
      <c r="G72" s="194"/>
      <c r="H72" s="28"/>
      <c r="I72" s="28"/>
      <c r="K72" s="184"/>
    </row>
    <row r="73" spans="2:9" s="51" customFormat="1" ht="14.25" hidden="1">
      <c r="B73" s="51" t="s">
        <v>123</v>
      </c>
      <c r="E73" s="103"/>
      <c r="F73" s="103"/>
      <c r="G73" s="194"/>
      <c r="H73" s="28"/>
      <c r="I73" s="28"/>
    </row>
    <row r="74" s="51" customFormat="1" ht="12.75" customHeight="1">
      <c r="G74" s="190"/>
    </row>
    <row r="75" spans="2:7" s="51" customFormat="1" ht="16.5">
      <c r="B75" s="124" t="s">
        <v>223</v>
      </c>
      <c r="G75" s="190"/>
    </row>
    <row r="76" spans="2:7" s="51" customFormat="1" ht="16.5">
      <c r="B76" s="124" t="s">
        <v>266</v>
      </c>
      <c r="G76" s="190"/>
    </row>
    <row r="77" spans="2:7" s="51" customFormat="1" ht="16.5">
      <c r="B77" s="181" t="s">
        <v>99</v>
      </c>
      <c r="G77" s="190"/>
    </row>
  </sheetData>
  <sheetProtection/>
  <mergeCells count="6">
    <mergeCell ref="B60:B61"/>
    <mergeCell ref="B62:B63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Simon Lee Siew Ann</cp:lastModifiedBy>
  <cp:lastPrinted>2013-05-14T00:45:13Z</cp:lastPrinted>
  <dcterms:created xsi:type="dcterms:W3CDTF">2002-11-05T00:02:16Z</dcterms:created>
  <dcterms:modified xsi:type="dcterms:W3CDTF">2013-05-14T00:45:24Z</dcterms:modified>
  <cp:category/>
  <cp:version/>
  <cp:contentType/>
  <cp:contentStatus/>
</cp:coreProperties>
</file>